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6193995E-DE94-49E8-9A1B-778BC78D903F}" xr6:coauthVersionLast="41" xr6:coauthVersionMax="41" xr10:uidLastSave="{00000000-0000-0000-0000-000000000000}"/>
  <bookViews>
    <workbookView xWindow="-23148" yWindow="48" windowWidth="23256" windowHeight="12576" xr2:uid="{AD902BF9-9075-4401-B711-0797CFCB4D43}"/>
  </bookViews>
  <sheets>
    <sheet name="MH Analysis" sheetId="4" r:id="rId1"/>
    <sheet name="MH Data" sheetId="3" r:id="rId2"/>
    <sheet name="October 2019" sheetId="2" r:id="rId3"/>
    <sheet name="Sheet1" sheetId="5" r:id="rId4"/>
    <sheet name="October 2018" sheetId="1" r:id="rId5"/>
  </sheets>
  <definedNames>
    <definedName name="solver_adj" localSheetId="0" hidden="1">'MH Analysis'!$K$4</definedName>
    <definedName name="solver_adj" localSheetId="4" hidden="1">'October 2018'!$H$15</definedName>
    <definedName name="solver_cvg" localSheetId="0" hidden="1">0.0001</definedName>
    <definedName name="solver_cvg" localSheetId="4" hidden="1">0.0001</definedName>
    <definedName name="solver_drv" localSheetId="0" hidden="1">1</definedName>
    <definedName name="solver_drv" localSheetId="4" hidden="1">1</definedName>
    <definedName name="solver_eng" localSheetId="0" hidden="1">1</definedName>
    <definedName name="solver_eng" localSheetId="4" hidden="1">1</definedName>
    <definedName name="solver_est" localSheetId="0" hidden="1">1</definedName>
    <definedName name="solver_est" localSheetId="4" hidden="1">1</definedName>
    <definedName name="solver_itr" localSheetId="0" hidden="1">2147483647</definedName>
    <definedName name="solver_itr" localSheetId="4" hidden="1">2147483647</definedName>
    <definedName name="solver_mip" localSheetId="0" hidden="1">2147483647</definedName>
    <definedName name="solver_mip" localSheetId="4" hidden="1">2147483647</definedName>
    <definedName name="solver_mni" localSheetId="0" hidden="1">30</definedName>
    <definedName name="solver_mni" localSheetId="4" hidden="1">30</definedName>
    <definedName name="solver_mrt" localSheetId="0" hidden="1">0.075</definedName>
    <definedName name="solver_mrt" localSheetId="4" hidden="1">0.075</definedName>
    <definedName name="solver_msl" localSheetId="0" hidden="1">2</definedName>
    <definedName name="solver_msl" localSheetId="4" hidden="1">2</definedName>
    <definedName name="solver_neg" localSheetId="0" hidden="1">1</definedName>
    <definedName name="solver_neg" localSheetId="4" hidden="1">1</definedName>
    <definedName name="solver_nod" localSheetId="0" hidden="1">2147483647</definedName>
    <definedName name="solver_nod" localSheetId="4" hidden="1">2147483647</definedName>
    <definedName name="solver_num" localSheetId="0" hidden="1">0</definedName>
    <definedName name="solver_num" localSheetId="4" hidden="1">0</definedName>
    <definedName name="solver_nwt" localSheetId="0" hidden="1">1</definedName>
    <definedName name="solver_nwt" localSheetId="4" hidden="1">1</definedName>
    <definedName name="solver_opt" localSheetId="0" hidden="1">'MH Analysis'!$N$4</definedName>
    <definedName name="solver_opt" localSheetId="4" hidden="1">'October 2018'!$P$15</definedName>
    <definedName name="solver_pre" localSheetId="0" hidden="1">0.000001</definedName>
    <definedName name="solver_pre" localSheetId="4" hidden="1">0.000001</definedName>
    <definedName name="solver_rbv" localSheetId="0" hidden="1">1</definedName>
    <definedName name="solver_rbv" localSheetId="4" hidden="1">1</definedName>
    <definedName name="solver_rlx" localSheetId="0" hidden="1">2</definedName>
    <definedName name="solver_rlx" localSheetId="4" hidden="1">2</definedName>
    <definedName name="solver_rsd" localSheetId="0" hidden="1">0</definedName>
    <definedName name="solver_rsd" localSheetId="4" hidden="1">0</definedName>
    <definedName name="solver_scl" localSheetId="0" hidden="1">1</definedName>
    <definedName name="solver_scl" localSheetId="4" hidden="1">1</definedName>
    <definedName name="solver_sho" localSheetId="0" hidden="1">2</definedName>
    <definedName name="solver_sho" localSheetId="4" hidden="1">2</definedName>
    <definedName name="solver_ssz" localSheetId="0" hidden="1">100</definedName>
    <definedName name="solver_ssz" localSheetId="4" hidden="1">100</definedName>
    <definedName name="solver_tim" localSheetId="0" hidden="1">2147483647</definedName>
    <definedName name="solver_tim" localSheetId="4" hidden="1">2147483647</definedName>
    <definedName name="solver_tol" localSheetId="0" hidden="1">0.01</definedName>
    <definedName name="solver_tol" localSheetId="4" hidden="1">0.01</definedName>
    <definedName name="solver_typ" localSheetId="0" hidden="1">3</definedName>
    <definedName name="solver_typ" localSheetId="4" hidden="1">3</definedName>
    <definedName name="solver_val" localSheetId="0" hidden="1">7</definedName>
    <definedName name="solver_val" localSheetId="4" hidden="1">0</definedName>
    <definedName name="solver_ver" localSheetId="0" hidden="1">3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4" l="1"/>
  <c r="L11" i="4"/>
  <c r="M10" i="4"/>
  <c r="L10" i="4"/>
  <c r="L9" i="4"/>
  <c r="L7" i="4"/>
  <c r="L5" i="4"/>
  <c r="L6" i="4"/>
  <c r="L4" i="4"/>
  <c r="Q25" i="3" l="1"/>
  <c r="Q23" i="3"/>
  <c r="N23" i="3"/>
  <c r="Q22" i="3"/>
  <c r="Q21" i="3"/>
  <c r="Q20" i="3"/>
  <c r="Q19" i="3"/>
  <c r="N14" i="3"/>
  <c r="Q13" i="3"/>
  <c r="Q12" i="3"/>
  <c r="Q11" i="3"/>
  <c r="Q10" i="3"/>
  <c r="Q9" i="3"/>
  <c r="Q8" i="3"/>
  <c r="Q7" i="3"/>
  <c r="Q6" i="3"/>
  <c r="Q5" i="3"/>
  <c r="Q4" i="3"/>
  <c r="Q14" i="3" s="1"/>
  <c r="Q16" i="3" s="1"/>
  <c r="B19" i="4" l="1"/>
  <c r="C19" i="4" s="1"/>
  <c r="C17" i="4"/>
  <c r="B17" i="4"/>
  <c r="B16" i="4"/>
  <c r="C16" i="4" s="1"/>
  <c r="C20" i="4" s="1"/>
  <c r="P9" i="4"/>
  <c r="I9" i="4"/>
  <c r="D9" i="4"/>
  <c r="B9" i="4"/>
  <c r="C9" i="4"/>
  <c r="D7" i="4"/>
  <c r="P7" i="4"/>
  <c r="I7" i="4"/>
  <c r="O6" i="4"/>
  <c r="G7" i="4"/>
  <c r="B7" i="4"/>
  <c r="C7" i="4"/>
  <c r="O4" i="4"/>
  <c r="C18" i="4"/>
  <c r="F9" i="4"/>
  <c r="F7" i="4" s="1"/>
  <c r="H9" i="4"/>
  <c r="H7" i="4" s="1"/>
  <c r="G9" i="4"/>
  <c r="E9" i="4" s="1"/>
  <c r="B20" i="4" l="1"/>
  <c r="E7" i="4"/>
  <c r="Q13" i="4"/>
  <c r="R13" i="4" s="1"/>
  <c r="S13" i="4" s="1"/>
  <c r="O13" i="4"/>
  <c r="Q12" i="4"/>
  <c r="R12" i="4" s="1"/>
  <c r="S12" i="4" s="1"/>
  <c r="O12" i="4"/>
  <c r="J6" i="4"/>
  <c r="E6" i="4"/>
  <c r="J4" i="4"/>
  <c r="E4" i="4"/>
  <c r="O5" i="4"/>
  <c r="J5" i="4"/>
  <c r="E5" i="4"/>
  <c r="M6" i="4" l="1"/>
  <c r="J9" i="4"/>
  <c r="K9" i="4" s="1"/>
  <c r="O9" i="4" s="1"/>
  <c r="J7" i="4"/>
  <c r="K7" i="4" s="1"/>
  <c r="O7" i="4" s="1"/>
  <c r="M4" i="4"/>
  <c r="Q4" i="4" s="1"/>
  <c r="R4" i="4" s="1"/>
  <c r="S4" i="4" s="1"/>
  <c r="Q6" i="4"/>
  <c r="N6" i="4"/>
  <c r="M5" i="4"/>
  <c r="R6" i="4" l="1"/>
  <c r="M7" i="4"/>
  <c r="N7" i="4" s="1"/>
  <c r="M9" i="4"/>
  <c r="N4" i="4"/>
  <c r="Q5" i="4"/>
  <c r="Q7" i="4" s="1"/>
  <c r="N5" i="4"/>
  <c r="N9" i="4" l="1"/>
  <c r="O16" i="4" s="1"/>
  <c r="Q9" i="4"/>
  <c r="B22" i="4"/>
  <c r="S6" i="4"/>
  <c r="R5" i="4"/>
  <c r="R7" i="4" s="1"/>
  <c r="I4" i="2"/>
  <c r="L4" i="2" s="1"/>
  <c r="R9" i="4" l="1"/>
  <c r="B23" i="4"/>
  <c r="C22" i="4"/>
  <c r="C23" i="4" s="1"/>
  <c r="S7" i="4"/>
  <c r="S5" i="4"/>
  <c r="S9" i="4" s="1"/>
  <c r="C10" i="2"/>
  <c r="B10" i="2"/>
  <c r="M5" i="2"/>
  <c r="M6" i="2"/>
  <c r="M7" i="2"/>
  <c r="M4" i="2"/>
  <c r="I5" i="2"/>
  <c r="L5" i="2" s="1"/>
  <c r="I6" i="2"/>
  <c r="L6" i="2" s="1"/>
  <c r="I7" i="2"/>
  <c r="L7" i="2" s="1"/>
  <c r="J5" i="1"/>
  <c r="D10" i="1"/>
  <c r="I4" i="1"/>
  <c r="J4" i="1" s="1"/>
  <c r="O13" i="2"/>
  <c r="P13" i="2" s="1"/>
  <c r="M13" i="2"/>
  <c r="O12" i="2"/>
  <c r="P12" i="2" s="1"/>
  <c r="M12" i="2"/>
  <c r="N10" i="2"/>
  <c r="F10" i="2"/>
  <c r="H10" i="2"/>
  <c r="G10" i="2"/>
  <c r="E10" i="2"/>
  <c r="N8" i="2"/>
  <c r="F8" i="2"/>
  <c r="M8" i="2" s="1"/>
  <c r="H8" i="2"/>
  <c r="C8" i="2"/>
  <c r="B8" i="2"/>
  <c r="D7" i="2"/>
  <c r="F21" i="2" s="1"/>
  <c r="D6" i="2"/>
  <c r="F20" i="2" s="1"/>
  <c r="D5" i="2"/>
  <c r="F19" i="2" s="1"/>
  <c r="D4" i="2"/>
  <c r="F18" i="2" s="1"/>
  <c r="L10" i="2" l="1"/>
  <c r="D8" i="2"/>
  <c r="O5" i="2"/>
  <c r="P5" i="2" s="1"/>
  <c r="Q5" i="2" s="1"/>
  <c r="O4" i="2"/>
  <c r="P4" i="2" s="1"/>
  <c r="D10" i="2"/>
  <c r="O7" i="2"/>
  <c r="P7" i="2" s="1"/>
  <c r="Q7" i="2" s="1"/>
  <c r="I10" i="2"/>
  <c r="J10" i="2" s="1"/>
  <c r="M10" i="2" s="1"/>
  <c r="O6" i="2"/>
  <c r="P6" i="2" s="1"/>
  <c r="Q6" i="2" s="1"/>
  <c r="Q13" i="2"/>
  <c r="Q12" i="2"/>
  <c r="L8" i="2"/>
  <c r="K4" i="2"/>
  <c r="K4" i="1"/>
  <c r="L4" i="1"/>
  <c r="K6" i="2"/>
  <c r="K5" i="2"/>
  <c r="K7" i="2"/>
  <c r="I8" i="2"/>
  <c r="J8" i="2" s="1"/>
  <c r="K8" i="2" s="1"/>
  <c r="M12" i="1"/>
  <c r="N14" i="1"/>
  <c r="N15" i="1"/>
  <c r="O10" i="2" l="1"/>
  <c r="O8" i="2"/>
  <c r="P10" i="2"/>
  <c r="Q4" i="2"/>
  <c r="Q10" i="2" s="1"/>
  <c r="P8" i="2"/>
  <c r="Q8" i="2" s="1"/>
  <c r="K10" i="2"/>
  <c r="L14" i="1"/>
  <c r="L15" i="1"/>
  <c r="I8" i="1"/>
  <c r="J8" i="1" s="1"/>
  <c r="O15" i="1"/>
  <c r="O14" i="1"/>
  <c r="P14" i="1" s="1"/>
  <c r="D5" i="1"/>
  <c r="D6" i="1"/>
  <c r="D7" i="1"/>
  <c r="D8" i="1"/>
  <c r="D9" i="1"/>
  <c r="D4" i="1"/>
  <c r="C12" i="1"/>
  <c r="C10" i="1"/>
  <c r="B10" i="1"/>
  <c r="H10" i="1"/>
  <c r="M10" i="1"/>
  <c r="G10" i="1"/>
  <c r="F12" i="1"/>
  <c r="E12" i="1"/>
  <c r="H12" i="1"/>
  <c r="B12" i="1"/>
  <c r="G12" i="1"/>
  <c r="N9" i="1"/>
  <c r="O9" i="1" s="1"/>
  <c r="P9" i="1" s="1"/>
  <c r="I9" i="1"/>
  <c r="J9" i="1" s="1"/>
  <c r="N6" i="1"/>
  <c r="O6" i="1" s="1"/>
  <c r="P6" i="1" s="1"/>
  <c r="N7" i="1"/>
  <c r="O7" i="1" s="1"/>
  <c r="P7" i="1" s="1"/>
  <c r="N8" i="1"/>
  <c r="O8" i="1" s="1"/>
  <c r="P8" i="1" s="1"/>
  <c r="I6" i="1"/>
  <c r="J6" i="1" s="1"/>
  <c r="I7" i="1"/>
  <c r="J7" i="1" s="1"/>
  <c r="I5" i="1"/>
  <c r="K5" i="1" s="1"/>
  <c r="N5" i="1"/>
  <c r="O5" i="1" s="1"/>
  <c r="P5" i="1" s="1"/>
  <c r="N4" i="1"/>
  <c r="L9" i="1" l="1"/>
  <c r="K9" i="1"/>
  <c r="L6" i="1"/>
  <c r="K6" i="1"/>
  <c r="L8" i="1"/>
  <c r="K8" i="1"/>
  <c r="L7" i="1"/>
  <c r="K7" i="1"/>
  <c r="L5" i="1"/>
  <c r="L10" i="1"/>
  <c r="D12" i="1"/>
  <c r="N12" i="1"/>
  <c r="P15" i="1"/>
  <c r="I10" i="1"/>
  <c r="J10" i="1" s="1"/>
  <c r="K10" i="1" s="1"/>
  <c r="N10" i="1"/>
  <c r="O4" i="1"/>
  <c r="O10" i="1" s="1"/>
  <c r="P10" i="1" s="1"/>
  <c r="I12" i="1"/>
  <c r="J12" i="1" s="1"/>
  <c r="K12" i="1" s="1"/>
  <c r="L12" i="1" l="1"/>
  <c r="P4" i="1"/>
  <c r="P12" i="1" s="1"/>
  <c r="O12" i="1"/>
</calcChain>
</file>

<file path=xl/sharedStrings.xml><?xml version="1.0" encoding="utf-8"?>
<sst xmlns="http://schemas.openxmlformats.org/spreadsheetml/2006/main" count="146" uniqueCount="88">
  <si>
    <t xml:space="preserve">Set </t>
  </si>
  <si>
    <t>Box Price</t>
  </si>
  <si>
    <t>Hold Period (months)</t>
  </si>
  <si>
    <t>Release Date</t>
  </si>
  <si>
    <t>Net Profit</t>
  </si>
  <si>
    <t>Shadows Over Innistrad</t>
  </si>
  <si>
    <t>Sale Date</t>
  </si>
  <si>
    <t>Ebay &amp; Paypal Selling fees at 12.9%</t>
  </si>
  <si>
    <t xml:space="preserve">Net % Gain </t>
  </si>
  <si>
    <t>Eldrich Moon</t>
  </si>
  <si>
    <t>USPS Flat Rate Medium Box</t>
  </si>
  <si>
    <t>Kaladesh</t>
  </si>
  <si>
    <t>Aether Revolt</t>
  </si>
  <si>
    <t>Amonkhet</t>
  </si>
  <si>
    <t>Avg. Growth $ by Month</t>
  </si>
  <si>
    <t>Avg. Growth % by Month</t>
  </si>
  <si>
    <t xml:space="preserve">Avg. July Box Sale Price Ebay </t>
  </si>
  <si>
    <t>Breakeven</t>
  </si>
  <si>
    <t>Total Growth</t>
  </si>
  <si>
    <t>Current Set EV MTG Dawnglare with Inventions &amp; Invocations</t>
  </si>
  <si>
    <t>Current Box Price % of Set EV Premium</t>
  </si>
  <si>
    <t>Total</t>
  </si>
  <si>
    <t>Average</t>
  </si>
  <si>
    <t>Hour of Devastation</t>
  </si>
  <si>
    <t>12 Month Return %</t>
  </si>
  <si>
    <t>Ixalan</t>
  </si>
  <si>
    <t>Rivals of Ixalan</t>
  </si>
  <si>
    <t>Dominaria</t>
  </si>
  <si>
    <t>Core 2019</t>
  </si>
  <si>
    <t xml:space="preserve">Current Set EV MTG Dawnglare </t>
  </si>
  <si>
    <t>Future Box Price 9/2020</t>
  </si>
  <si>
    <t>Avg. August Box Sale Price Ebay  8/2019</t>
  </si>
  <si>
    <t>Price/EV Ratio * Total Avg. Growth by Month of Historical Oct 2018 Sets (1.78%)</t>
  </si>
  <si>
    <t>Release</t>
  </si>
  <si>
    <t>Market Days</t>
  </si>
  <si>
    <t xml:space="preserve">Analysis of Booster Box Ebay sales 8-13-19 to 9-2-13 </t>
  </si>
  <si>
    <t>21 days</t>
  </si>
  <si>
    <t>TCGPlayer $ Lowest List</t>
  </si>
  <si>
    <t>TCGPlayer $ Market Avg</t>
  </si>
  <si>
    <t>EBAY AVG from 84 box sales</t>
  </si>
  <si>
    <t>Release Prices</t>
  </si>
  <si>
    <t>$180-200</t>
  </si>
  <si>
    <t>Dawnglare Set EV $</t>
  </si>
  <si>
    <t>Dawnglare Pack EV $</t>
  </si>
  <si>
    <t>MTG Goldfish complete set $ 9-2-19</t>
  </si>
  <si>
    <t>MTG Goldfish complete set release $ 6-14-19</t>
  </si>
  <si>
    <t xml:space="preserve">Hoogaak ban </t>
  </si>
  <si>
    <t>MTG Goldfish complete set day before Hoogaak ban 8-25-19</t>
  </si>
  <si>
    <t>MTG Stocks EV 8-25-19</t>
  </si>
  <si>
    <t>market</t>
  </si>
  <si>
    <t>MTG Stocks EV 9-2-19</t>
  </si>
  <si>
    <t>MTG Stocks EV 6-14-19</t>
  </si>
  <si>
    <t>Growth Rates</t>
  </si>
  <si>
    <t>Low</t>
  </si>
  <si>
    <t>Middle</t>
  </si>
  <si>
    <t>High</t>
  </si>
  <si>
    <t>($8.00 a pack)</t>
  </si>
  <si>
    <t>MTGO Pack Price</t>
  </si>
  <si>
    <t>14.5% discount from $8.00</t>
  </si>
  <si>
    <t>Modern Horizons (High)</t>
  </si>
  <si>
    <t>Avg. August Box Sale Price Ebay  8/13/19 to 9/2/19</t>
  </si>
  <si>
    <t xml:space="preserve"> TCGPlayer Market Price</t>
  </si>
  <si>
    <t>Current Complete Set of Cards EV (MTG Goldfish)</t>
  </si>
  <si>
    <t>Release Date 6/14/19</t>
  </si>
  <si>
    <t>Sale Date 12/14/21</t>
  </si>
  <si>
    <t>2 years and 6 months from release</t>
  </si>
  <si>
    <t>Modern Horizons (Low)</t>
  </si>
  <si>
    <t>Modern Horizions (Mid)</t>
  </si>
  <si>
    <t>(MTGO)</t>
  </si>
  <si>
    <t>(Target/Gamestop)</t>
  </si>
  <si>
    <t>MTGO Booster Pack</t>
  </si>
  <si>
    <t>Retail 3-Pack Blister</t>
  </si>
  <si>
    <t>Print Run Ended in 1 Year:</t>
  </si>
  <si>
    <t>Rivals of Ixalan, Dominaria, Core 2019</t>
  </si>
  <si>
    <t xml:space="preserve">Pack Price Growth </t>
  </si>
  <si>
    <t>Pack Price</t>
  </si>
  <si>
    <t xml:space="preserve">Ebay Avg. Sale Price </t>
  </si>
  <si>
    <t>TCGPlayer Market Price</t>
  </si>
  <si>
    <t>Future Average Price</t>
  </si>
  <si>
    <t>Future Growth</t>
  </si>
  <si>
    <t>Print Run ends in 6-12 months</t>
  </si>
  <si>
    <t>Future Price per Pack 12/2021</t>
  </si>
  <si>
    <t>84 boxes sold</t>
  </si>
  <si>
    <t>Future Box Price 12/2020 (18 months)</t>
  </si>
  <si>
    <t>Future Box Price 12/2021 (30 months)</t>
  </si>
  <si>
    <t>1. Current estimated MSRP per pack held for Low Forecast</t>
  </si>
  <si>
    <t>2. Weighted average of hold period and % growth for all standard boxes for Mid Forecast</t>
  </si>
  <si>
    <t>3. Just Dominaria, Kaldesh, Aether, &amp; Eldrich Moon % growth avg for the High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</si>
</sst>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0"/>
    <numFmt numFmtId="166" formatCode="0.000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1" applyFont="1"/>
    <xf numFmtId="4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4" fontId="0" fillId="0" borderId="0" xfId="0" applyNumberFormat="1"/>
    <xf numFmtId="0" fontId="0" fillId="0" borderId="2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8" fontId="0" fillId="0" borderId="0" xfId="1" applyNumberFormat="1" applyFont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0" xfId="0" applyNumberFormat="1"/>
    <xf numFmtId="0" fontId="2" fillId="0" borderId="3" xfId="0" applyFont="1" applyBorder="1"/>
    <xf numFmtId="164" fontId="0" fillId="0" borderId="7" xfId="2" applyNumberFormat="1" applyFont="1" applyBorder="1" applyAlignment="1">
      <alignment horizontal="center"/>
    </xf>
    <xf numFmtId="0" fontId="0" fillId="0" borderId="7" xfId="0" applyBorder="1"/>
    <xf numFmtId="0" fontId="0" fillId="0" borderId="4" xfId="0" applyBorder="1"/>
    <xf numFmtId="10" fontId="0" fillId="0" borderId="7" xfId="2" applyNumberFormat="1" applyFont="1" applyBorder="1"/>
    <xf numFmtId="165" fontId="0" fillId="0" borderId="0" xfId="0" applyNumberFormat="1"/>
    <xf numFmtId="0" fontId="0" fillId="0" borderId="8" xfId="0" applyBorder="1" applyAlignment="1">
      <alignment horizontal="center" vertical="center" wrapText="1"/>
    </xf>
    <xf numFmtId="8" fontId="0" fillId="0" borderId="0" xfId="0" applyNumberFormat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10" fontId="0" fillId="0" borderId="0" xfId="2" applyNumberFormat="1" applyFont="1" applyBorder="1"/>
    <xf numFmtId="1" fontId="0" fillId="0" borderId="2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164" fontId="0" fillId="0" borderId="0" xfId="2" applyNumberFormat="1" applyFo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8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8" fontId="0" fillId="0" borderId="2" xfId="0" applyNumberFormat="1" applyBorder="1"/>
    <xf numFmtId="166" fontId="0" fillId="0" borderId="0" xfId="2" applyNumberFormat="1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Modern Horizons Booster</a:t>
            </a:r>
            <a:r>
              <a:rPr lang="en-US" baseline="0"/>
              <a:t> Box Price Forecast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'MH Analysis'!$A$4</c:f>
              <c:strCache>
                <c:ptCount val="1"/>
                <c:pt idx="0">
                  <c:v>Modern Horizons (Low)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('MH Analysis'!$B$3,'MH Analysis'!$L$3:$M$3)</c:f>
              <c:strCache>
                <c:ptCount val="3"/>
                <c:pt idx="0">
                  <c:v>Avg. August Box Sale Price Ebay  8/13/19 to 9/2/19</c:v>
                </c:pt>
                <c:pt idx="1">
                  <c:v>Future Box Price 12/2020 (18 months)</c:v>
                </c:pt>
                <c:pt idx="2">
                  <c:v>Future Box Price 12/2021 (30 months)</c:v>
                </c:pt>
              </c:strCache>
            </c:strRef>
          </c:cat>
          <c:val>
            <c:numRef>
              <c:f>('MH Analysis'!$B$4,'MH Analysis'!$L$4:$M$4)</c:f>
              <c:numCache>
                <c:formatCode>_("$"* #,##0.00_);_("$"* \(#,##0.00\);_("$"* "-"??_);_(@_)</c:formatCode>
                <c:ptCount val="3"/>
                <c:pt idx="0" formatCode="&quot;$&quot;#,##0.00_);[Red]\(&quot;$&quot;#,##0.00\)">
                  <c:v>179.25</c:v>
                </c:pt>
                <c:pt idx="1">
                  <c:v>222.90015098399999</c:v>
                </c:pt>
                <c:pt idx="2">
                  <c:v>252.00025163999999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B-472D-8EDA-428D09D55CD5}"/>
            </c:ext>
          </c:extLst>
        </c:ser>
        <c:ser>
          <c:idx val="1"/>
          <c:order val="1"/>
          <c:tx>
            <c:strRef>
              <c:f>'MH Analysis'!$A$5</c:f>
              <c:strCache>
                <c:ptCount val="1"/>
                <c:pt idx="0">
                  <c:v>Modern Horizions (Mid)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('MH Analysis'!$B$3,'MH Analysis'!$L$3:$M$3)</c:f>
              <c:strCache>
                <c:ptCount val="3"/>
                <c:pt idx="0">
                  <c:v>Avg. August Box Sale Price Ebay  8/13/19 to 9/2/19</c:v>
                </c:pt>
                <c:pt idx="1">
                  <c:v>Future Box Price 12/2020 (18 months)</c:v>
                </c:pt>
                <c:pt idx="2">
                  <c:v>Future Box Price 12/2021 (30 months)</c:v>
                </c:pt>
              </c:strCache>
            </c:strRef>
          </c:cat>
          <c:val>
            <c:numRef>
              <c:f>('MH Analysis'!$B$5,'MH Analysis'!$L$5:$M$5)</c:f>
              <c:numCache>
                <c:formatCode>_("$"* #,##0.00_);_("$"* \(#,##0.00\);_("$"* "-"??_);_(@_)</c:formatCode>
                <c:ptCount val="3"/>
                <c:pt idx="0" formatCode="&quot;$&quot;#,##0.00_);[Red]\(&quot;$&quot;#,##0.00\)">
                  <c:v>179.25</c:v>
                </c:pt>
                <c:pt idx="1">
                  <c:v>232.37300779905917</c:v>
                </c:pt>
                <c:pt idx="2">
                  <c:v>267.7883463317653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B-472D-8EDA-428D09D55CD5}"/>
            </c:ext>
          </c:extLst>
        </c:ser>
        <c:ser>
          <c:idx val="2"/>
          <c:order val="2"/>
          <c:tx>
            <c:strRef>
              <c:f>'MH Analysis'!$A$6</c:f>
              <c:strCache>
                <c:ptCount val="1"/>
                <c:pt idx="0">
                  <c:v>Modern Horizons (High)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('MH Analysis'!$B$3,'MH Analysis'!$L$3:$M$3)</c:f>
              <c:strCache>
                <c:ptCount val="3"/>
                <c:pt idx="0">
                  <c:v>Avg. August Box Sale Price Ebay  8/13/19 to 9/2/19</c:v>
                </c:pt>
                <c:pt idx="1">
                  <c:v>Future Box Price 12/2020 (18 months)</c:v>
                </c:pt>
                <c:pt idx="2">
                  <c:v>Future Box Price 12/2021 (30 months)</c:v>
                </c:pt>
              </c:strCache>
            </c:strRef>
          </c:cat>
          <c:val>
            <c:numRef>
              <c:f>('MH Analysis'!$B$6,'MH Analysis'!$L$6:$M$6)</c:f>
              <c:numCache>
                <c:formatCode>_("$"* #,##0.00_);_("$"* \(#,##0.00\);_("$"* "-"??_);_(@_)</c:formatCode>
                <c:ptCount val="3"/>
                <c:pt idx="0" formatCode="&quot;$&quot;#,##0.00_);[Red]\(&quot;$&quot;#,##0.00\)">
                  <c:v>179.25</c:v>
                </c:pt>
                <c:pt idx="1">
                  <c:v>275.67546449661933</c:v>
                </c:pt>
                <c:pt idx="2">
                  <c:v>339.95910749436553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B-472D-8EDA-428D09D55CD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79285600"/>
        <c:axId val="1279280352"/>
      </c:barChart>
      <c:catAx>
        <c:axId val="1279285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280352"/>
        <c:crosses val="autoZero"/>
        <c:auto val="1"/>
        <c:lblAlgn val="ctr"/>
        <c:lblOffset val="100"/>
        <c:noMultiLvlLbl val="0"/>
      </c:catAx>
      <c:valAx>
        <c:axId val="1279280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28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Avg. August 2019 Booster Box Sale Price</a:t>
            </a:r>
            <a:r>
              <a:rPr lang="en-US" baseline="0"/>
              <a:t>s</a:t>
            </a:r>
            <a:r>
              <a:rPr lang="en-US"/>
              <a:t> Ebay  </a:t>
            </a:r>
          </a:p>
        </c:rich>
      </c:tx>
      <c:layout>
        <c:manualLayout>
          <c:xMode val="edge"/>
          <c:yMode val="edge"/>
          <c:x val="0.129138888888888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'October 2019'!$F$3</c:f>
              <c:strCache>
                <c:ptCount val="1"/>
                <c:pt idx="0">
                  <c:v>Avg. August Box Sale Price Ebay  8/2019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2019'!$F$4:$F$7</c:f>
              <c:numCache>
                <c:formatCode>"$"#,##0.00_);[Red]\("$"#,##0.00\)</c:formatCode>
                <c:ptCount val="4"/>
                <c:pt idx="0">
                  <c:v>90</c:v>
                </c:pt>
                <c:pt idx="1">
                  <c:v>85</c:v>
                </c:pt>
                <c:pt idx="2">
                  <c:v>120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C-4CC2-B8DA-78143669FF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8510056"/>
        <c:axId val="698511368"/>
        <c:axId val="0"/>
      </c:bar3DChart>
      <c:catAx>
        <c:axId val="698510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1368"/>
        <c:crosses val="autoZero"/>
        <c:auto val="1"/>
        <c:lblAlgn val="ctr"/>
        <c:lblOffset val="100"/>
        <c:noMultiLvlLbl val="0"/>
      </c:catAx>
      <c:valAx>
        <c:axId val="69851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00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Set Value to Booster Box Pricing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'October 2019'!$C$3</c:f>
              <c:strCache>
                <c:ptCount val="1"/>
                <c:pt idx="0">
                  <c:v>Current Set EV MTG Dawnglare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2019'!$C$4:$C$7</c:f>
              <c:numCache>
                <c:formatCode>"$"#,##0.00_);[Red]\("$"#,##0.00\)</c:formatCode>
                <c:ptCount val="4"/>
                <c:pt idx="0">
                  <c:v>56.12</c:v>
                </c:pt>
                <c:pt idx="1">
                  <c:v>65.86</c:v>
                </c:pt>
                <c:pt idx="2">
                  <c:v>47.42</c:v>
                </c:pt>
                <c:pt idx="3">
                  <c:v>54.62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B-4946-9E2B-3F89FAF6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759688"/>
        <c:axId val="791760344"/>
      </c:barChart>
      <c:lineChart>
        <c:grouping val="standard"/>
        <c:varyColors val="0"/>
        <c:ser>
          <c:idx val="1"/>
          <c:order val="1"/>
          <c:tx>
            <c:strRef>
              <c:f>'October 2019'!$F$3</c:f>
              <c:strCache>
                <c:ptCount val="1"/>
                <c:pt idx="0">
                  <c:v>Avg. August Box Sale Price Ebay  8/2019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2019'!$F$4:$F$7</c:f>
              <c:numCache>
                <c:formatCode>"$"#,##0.00_);[Red]\("$"#,##0.00\)</c:formatCode>
                <c:ptCount val="4"/>
                <c:pt idx="0">
                  <c:v>90</c:v>
                </c:pt>
                <c:pt idx="1">
                  <c:v>85</c:v>
                </c:pt>
                <c:pt idx="2">
                  <c:v>120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B-4946-9E2B-3F89FAF6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56760"/>
        <c:axId val="394553808"/>
      </c:lineChart>
      <c:catAx>
        <c:axId val="79175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760344"/>
        <c:crosses val="autoZero"/>
        <c:auto val="1"/>
        <c:lblAlgn val="ctr"/>
        <c:lblOffset val="100"/>
        <c:noMultiLvlLbl val="0"/>
      </c:catAx>
      <c:valAx>
        <c:axId val="79176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227654315590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759688"/>
        <c:crosses val="autoZero"/>
        <c:crossBetween val="between"/>
      </c:valAx>
      <c:valAx>
        <c:axId val="394553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Booster</a:t>
                </a:r>
                <a:r>
                  <a:rPr lang="en-US" baseline="0"/>
                  <a:t> Box Price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56760"/>
        <c:crosses val="max"/>
        <c:crossBetween val="between"/>
      </c:valAx>
      <c:catAx>
        <c:axId val="394556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4553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July 2019 Booster Box Sale Price</a:t>
            </a:r>
            <a:r>
              <a:rPr lang="en-US" baseline="0"/>
              <a:t>s</a:t>
            </a:r>
            <a:r>
              <a:rPr lang="en-US"/>
              <a:t> Ebay  </a:t>
            </a:r>
          </a:p>
        </c:rich>
      </c:tx>
      <c:layout>
        <c:manualLayout>
          <c:xMode val="edge"/>
          <c:yMode val="edge"/>
          <c:x val="0.129138888888888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'October 2018'!$H$3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5FF-B98A-68A3BEF96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10056"/>
        <c:axId val="698511368"/>
        <c:axId val="0"/>
      </c:bar3DChart>
      <c:catAx>
        <c:axId val="69851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1368"/>
        <c:crosses val="autoZero"/>
        <c:auto val="1"/>
        <c:lblAlgn val="ctr"/>
        <c:lblOffset val="100"/>
        <c:noMultiLvlLbl val="0"/>
      </c:catAx>
      <c:valAx>
        <c:axId val="69851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00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</a:t>
            </a:r>
            <a:r>
              <a:rPr lang="en-US" baseline="0"/>
              <a:t> Set Value to Booster Box Pricing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'October 2018'!$C$3</c:f>
              <c:strCache>
                <c:ptCount val="1"/>
                <c:pt idx="0">
                  <c:v>Current Set EV MTG Dawnglare with Inventions &amp; Invocations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2018'!$C$4:$C$9</c:f>
              <c:numCache>
                <c:formatCode>"$"#,##0.00_);[Red]\("$"#,##0.00\)</c:formatCode>
                <c:ptCount val="6"/>
                <c:pt idx="0">
                  <c:v>56.24</c:v>
                </c:pt>
                <c:pt idx="1">
                  <c:v>76.989999999999995</c:v>
                </c:pt>
                <c:pt idx="2">
                  <c:v>78.209999999999994</c:v>
                </c:pt>
                <c:pt idx="3">
                  <c:v>89.11</c:v>
                </c:pt>
                <c:pt idx="4">
                  <c:v>57</c:v>
                </c:pt>
                <c:pt idx="5">
                  <c:v>62.01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015288"/>
        <c:axId val="735009056"/>
      </c:barChart>
      <c:lineChart>
        <c:grouping val="standard"/>
        <c:varyColors val="0"/>
        <c:ser>
          <c:idx val="1"/>
          <c:order val="1"/>
          <c:tx>
            <c:strRef>
              <c:f>'October 2018'!$H$3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35592"/>
        <c:axId val="838735264"/>
      </c:lineChart>
      <c:catAx>
        <c:axId val="73501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09056"/>
        <c:crosses val="autoZero"/>
        <c:auto val="1"/>
        <c:lblAlgn val="ctr"/>
        <c:lblOffset val="100"/>
        <c:noMultiLvlLbl val="0"/>
      </c:catAx>
      <c:valAx>
        <c:axId val="7350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15288"/>
        <c:crosses val="autoZero"/>
        <c:crossBetween val="between"/>
      </c:valAx>
      <c:valAx>
        <c:axId val="838735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Booster</a:t>
                </a:r>
                <a:r>
                  <a:rPr lang="en-US" baseline="0"/>
                  <a:t> Box Price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35592"/>
        <c:crosses val="max"/>
        <c:crossBetween val="between"/>
      </c:valAx>
      <c:catAx>
        <c:axId val="83873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3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16</xdr:row>
      <xdr:rowOff>87630</xdr:rowOff>
    </xdr:from>
    <xdr:to>
      <xdr:col>16</xdr:col>
      <xdr:colOff>600074</xdr:colOff>
      <xdr:row>34</xdr:row>
      <xdr:rowOff>13335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683924-6403-43D5-BBFA-4F4CF14B3F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251459</xdr:colOff>
      <xdr:row>16</xdr:row>
      <xdr:rowOff>7620</xdr:rowOff>
    </xdr:from>
    <xdr:to>
      <xdr:col>15</xdr:col>
      <xdr:colOff>106679</xdr:colOff>
      <xdr:row>27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71267BD-357D-4452-A859-E26F375C4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373380</xdr:colOff>
      <xdr:row>15</xdr:row>
      <xdr:rowOff>187642</xdr:rowOff>
    </xdr:from>
    <xdr:to>
      <xdr:col>23</xdr:col>
      <xdr:colOff>68580</xdr:colOff>
      <xdr:row>27</xdr:row>
      <xdr:rowOff>65722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CAADC50-CD4E-47B3-9126-23D4E48D5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114300</xdr:rowOff>
    </xdr:from>
    <xdr:to>
      <xdr:col>5</xdr:col>
      <xdr:colOff>247650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94091F-76C9-40C1-B7D7-203FFC9454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471487</xdr:colOff>
      <xdr:row>15</xdr:row>
      <xdr:rowOff>104775</xdr:rowOff>
    </xdr:from>
    <xdr:to>
      <xdr:col>13</xdr:col>
      <xdr:colOff>61912</xdr:colOff>
      <xdr:row>29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9E017A-D254-4BA9-8272-B4206DC73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1074-FCB5-48BD-A52A-4989D7BF1D6F}">
  <dimension ref="A1:S27"/>
  <sheetViews>
    <sheetView tabSelected="1" workbookViewId="0">
      <selection activeCell="K3" sqref="K3"/>
    </sheetView>
  </sheetViews>
  <sheetFormatPr defaultRowHeight="15" x14ac:dyDescent="0.25"/>
  <cols>
    <col min="1" max="1" width="22.85546875" customWidth="1"/>
    <col min="2" max="3" width="13.42578125" customWidth="1"/>
    <col min="4" max="4" width="16.140625" customWidth="1"/>
    <col min="5" max="5" width="13.140625" customWidth="1"/>
    <col min="6" max="6" width="8.42578125" customWidth="1"/>
    <col min="7" max="7" width="11.42578125" customWidth="1"/>
    <col min="8" max="8" width="12.28515625" customWidth="1"/>
    <col min="9" max="9" width="12.140625" customWidth="1"/>
    <col min="11" max="11" width="11.5703125" bestFit="1" customWidth="1"/>
    <col min="12" max="12" width="13.28515625" customWidth="1"/>
    <col min="13" max="13" width="12.5703125" customWidth="1"/>
    <col min="14" max="14" width="11.7109375" customWidth="1"/>
    <col min="15" max="15" width="10.42578125" customWidth="1"/>
    <col min="17" max="17" width="11.42578125" customWidth="1"/>
  </cols>
  <sheetData>
    <row r="1" spans="1:19" x14ac:dyDescent="0.25">
      <c r="B1" t="s">
        <v>82</v>
      </c>
      <c r="D1" s="21">
        <v>43711</v>
      </c>
      <c r="G1" t="s">
        <v>80</v>
      </c>
      <c r="J1" t="s">
        <v>65</v>
      </c>
      <c r="N1" t="s">
        <v>46</v>
      </c>
      <c r="O1" s="21">
        <v>43703</v>
      </c>
    </row>
    <row r="3" spans="1:19" s="1" customFormat="1" ht="58.5" customHeight="1" x14ac:dyDescent="0.25">
      <c r="A3" s="11" t="s">
        <v>0</v>
      </c>
      <c r="B3" s="29" t="s">
        <v>60</v>
      </c>
      <c r="C3" s="45" t="s">
        <v>62</v>
      </c>
      <c r="D3" s="11" t="s">
        <v>29</v>
      </c>
      <c r="E3" s="47" t="s">
        <v>20</v>
      </c>
      <c r="F3" s="11" t="s">
        <v>63</v>
      </c>
      <c r="G3" s="46" t="s">
        <v>61</v>
      </c>
      <c r="H3" s="11" t="s">
        <v>64</v>
      </c>
      <c r="I3" s="11" t="s">
        <v>2</v>
      </c>
      <c r="J3" s="11" t="s">
        <v>14</v>
      </c>
      <c r="K3" s="11" t="s">
        <v>15</v>
      </c>
      <c r="L3" s="67" t="s">
        <v>83</v>
      </c>
      <c r="M3" s="28" t="s">
        <v>84</v>
      </c>
      <c r="N3" s="45" t="s">
        <v>81</v>
      </c>
      <c r="O3" s="11" t="s">
        <v>18</v>
      </c>
      <c r="P3" s="11" t="s">
        <v>10</v>
      </c>
      <c r="Q3" s="11" t="s">
        <v>7</v>
      </c>
      <c r="R3" s="11" t="s">
        <v>4</v>
      </c>
      <c r="S3" s="11" t="s">
        <v>8</v>
      </c>
    </row>
    <row r="4" spans="1:19" s="5" customFormat="1" x14ac:dyDescent="0.25">
      <c r="A4" s="5" t="s">
        <v>66</v>
      </c>
      <c r="B4" s="10">
        <v>179.25</v>
      </c>
      <c r="C4" s="10">
        <v>549.29999999999995</v>
      </c>
      <c r="D4" s="10">
        <v>214.42</v>
      </c>
      <c r="E4" s="9">
        <f>(G4/D4)-1</f>
        <v>-0.14415632870068085</v>
      </c>
      <c r="F4" s="7">
        <v>43630</v>
      </c>
      <c r="G4" s="10">
        <v>183.51</v>
      </c>
      <c r="H4" s="7">
        <v>44544</v>
      </c>
      <c r="I4" s="5">
        <v>30</v>
      </c>
      <c r="J4" s="8">
        <f>K4*B4</f>
        <v>2.4250083879999997</v>
      </c>
      <c r="K4" s="30">
        <v>1.3528638147838213E-2</v>
      </c>
      <c r="L4" s="6">
        <f>SUM(18*J4)+B4</f>
        <v>222.90015098399999</v>
      </c>
      <c r="M4" s="6">
        <f>SUM(I4*J4)+B4</f>
        <v>252.00025163999999</v>
      </c>
      <c r="N4" s="6">
        <f>M4/36</f>
        <v>7.0000069899999993</v>
      </c>
      <c r="O4" s="9">
        <f>K4*I4</f>
        <v>0.40585914443514637</v>
      </c>
      <c r="P4" s="10">
        <v>12.8</v>
      </c>
      <c r="Q4" s="10">
        <f>M4*0.129</f>
        <v>32.508032461559999</v>
      </c>
      <c r="R4" s="8">
        <f>M4-P4-Q4-B4</f>
        <v>27.442219178439984</v>
      </c>
      <c r="S4" s="9">
        <f>R4/B4</f>
        <v>0.15309466766214774</v>
      </c>
    </row>
    <row r="5" spans="1:19" s="5" customFormat="1" x14ac:dyDescent="0.25">
      <c r="A5" s="5" t="s">
        <v>67</v>
      </c>
      <c r="B5" s="10">
        <v>179.25</v>
      </c>
      <c r="C5" s="10">
        <v>549.29999999999995</v>
      </c>
      <c r="D5" s="10">
        <v>214.42</v>
      </c>
      <c r="E5" s="9">
        <f>(G5/D5)-1</f>
        <v>-0.14415632870068085</v>
      </c>
      <c r="F5" s="7">
        <v>43630</v>
      </c>
      <c r="G5" s="10">
        <v>183.51</v>
      </c>
      <c r="H5" s="7">
        <v>44544</v>
      </c>
      <c r="I5" s="5">
        <v>30</v>
      </c>
      <c r="J5" s="8">
        <f>K5*B5</f>
        <v>2.9512782110588436</v>
      </c>
      <c r="K5" s="30">
        <v>1.6464592530314331E-2</v>
      </c>
      <c r="L5" s="6">
        <f t="shared" ref="L5:L6" si="0">SUM(18*J5)+B5</f>
        <v>232.37300779905917</v>
      </c>
      <c r="M5" s="6">
        <f>SUM(I5*J5)+B5</f>
        <v>267.7883463317653</v>
      </c>
      <c r="N5" s="6">
        <f>M5/36</f>
        <v>7.4385651758823697</v>
      </c>
      <c r="O5" s="9">
        <f>K5*I5</f>
        <v>0.49393777590942994</v>
      </c>
      <c r="P5" s="10">
        <v>12.8</v>
      </c>
      <c r="Q5" s="10">
        <f>M5*0.129</f>
        <v>34.544696676797727</v>
      </c>
      <c r="R5" s="8">
        <f>M5-P5-Q5-B5</f>
        <v>41.193649654967544</v>
      </c>
      <c r="S5" s="9">
        <f>R5/B5</f>
        <v>0.22981115567624849</v>
      </c>
    </row>
    <row r="6" spans="1:19" s="5" customFormat="1" x14ac:dyDescent="0.25">
      <c r="A6" s="5" t="s">
        <v>59</v>
      </c>
      <c r="B6" s="10">
        <v>179.25</v>
      </c>
      <c r="C6" s="10">
        <v>549.29999999999995</v>
      </c>
      <c r="D6" s="10">
        <v>214.42</v>
      </c>
      <c r="E6" s="9">
        <f>(G6/D6)-1</f>
        <v>-0.14415632870068085</v>
      </c>
      <c r="F6" s="13">
        <v>43630</v>
      </c>
      <c r="G6" s="10">
        <v>183.51</v>
      </c>
      <c r="H6" s="13">
        <v>44544</v>
      </c>
      <c r="I6" s="5">
        <v>30</v>
      </c>
      <c r="J6" s="8">
        <f>K6*B6</f>
        <v>5.3569702498121838</v>
      </c>
      <c r="K6" s="30">
        <v>2.9885468618199074E-2</v>
      </c>
      <c r="L6" s="6">
        <f t="shared" si="0"/>
        <v>275.67546449661933</v>
      </c>
      <c r="M6" s="6">
        <f>SUM(I6*J6)+B6</f>
        <v>339.95910749436553</v>
      </c>
      <c r="N6" s="54">
        <f t="shared" ref="N6" si="1">M6/36</f>
        <v>9.4433085415101541</v>
      </c>
      <c r="O6" s="9">
        <f>K6*I6</f>
        <v>0.89656405854597221</v>
      </c>
      <c r="P6" s="10">
        <v>12.8</v>
      </c>
      <c r="Q6" s="10">
        <f>M6*0.129</f>
        <v>43.854724866773154</v>
      </c>
      <c r="R6" s="8">
        <f>M6-P6-Q6-B6</f>
        <v>104.05438262759236</v>
      </c>
      <c r="S6" s="9">
        <f>R6/B6</f>
        <v>0.58049864785267702</v>
      </c>
    </row>
    <row r="7" spans="1:19" x14ac:dyDescent="0.25">
      <c r="A7" s="22" t="s">
        <v>21</v>
      </c>
      <c r="B7" s="23">
        <f>SUM(B4:B6)</f>
        <v>537.75</v>
      </c>
      <c r="C7" s="23">
        <f>SUM(C4:C6)</f>
        <v>1647.8999999999999</v>
      </c>
      <c r="D7" s="23">
        <f>SUM(D4:D6)</f>
        <v>643.26</v>
      </c>
      <c r="E7" s="24">
        <f>(G7/D7)-1</f>
        <v>-0.14415632870068096</v>
      </c>
      <c r="F7" s="7">
        <f>F9</f>
        <v>43630</v>
      </c>
      <c r="G7" s="23">
        <f>SUM(G4:G6)</f>
        <v>550.53</v>
      </c>
      <c r="H7" s="7">
        <f>H9</f>
        <v>44544</v>
      </c>
      <c r="I7" s="53">
        <f>AVERAGE(I4:I6)</f>
        <v>30</v>
      </c>
      <c r="J7" s="27">
        <f>SUM(J4:J6)</f>
        <v>10.733256848871028</v>
      </c>
      <c r="K7" s="32">
        <f>J7/B7</f>
        <v>1.9959566432117205E-2</v>
      </c>
      <c r="L7" s="27">
        <f>SUM(L4:L6)</f>
        <v>730.94862327967849</v>
      </c>
      <c r="M7" s="27">
        <f>SUM(M4:M6)</f>
        <v>859.74770546613081</v>
      </c>
      <c r="N7" s="6">
        <f>M7/108</f>
        <v>7.960626902464174</v>
      </c>
      <c r="O7" s="24">
        <f>K7*I7</f>
        <v>0.59878699296351612</v>
      </c>
      <c r="P7" s="23">
        <f>SUM(P4:P6)</f>
        <v>38.400000000000006</v>
      </c>
      <c r="Q7" s="23">
        <f>SUM(Q4:Q6)</f>
        <v>110.90745400513089</v>
      </c>
      <c r="R7" s="27">
        <f>SUM(R4:R6)</f>
        <v>172.69025146099989</v>
      </c>
      <c r="S7" s="24">
        <f>R7/B7</f>
        <v>0.32113482373035779</v>
      </c>
    </row>
    <row r="8" spans="1:19" x14ac:dyDescent="0.25">
      <c r="D8" s="10"/>
      <c r="G8" s="10"/>
      <c r="K8" s="35"/>
      <c r="L8" s="35"/>
      <c r="M8" s="9"/>
      <c r="N8" s="9"/>
      <c r="O8" s="5"/>
    </row>
    <row r="9" spans="1:19" x14ac:dyDescent="0.25">
      <c r="A9" s="17" t="s">
        <v>22</v>
      </c>
      <c r="B9" s="10">
        <f>AVERAGE(B4:B6)</f>
        <v>179.25</v>
      </c>
      <c r="C9" s="10">
        <f>AVERAGE(C4:C6)</f>
        <v>549.29999999999995</v>
      </c>
      <c r="D9" s="10">
        <f>AVERAGE(D4:D6)</f>
        <v>214.42</v>
      </c>
      <c r="E9" s="9">
        <f>(G9/D9)-1</f>
        <v>-0.14415632870068085</v>
      </c>
      <c r="F9" s="7">
        <f>AVERAGE(F4:F6)</f>
        <v>43630</v>
      </c>
      <c r="G9" s="10">
        <f>AVERAGE(G4:G6)</f>
        <v>183.51</v>
      </c>
      <c r="H9" s="7">
        <f>AVERAGE(H4:H6)</f>
        <v>44544</v>
      </c>
      <c r="I9" s="18">
        <f>AVERAGE(I4:I6)</f>
        <v>30</v>
      </c>
      <c r="J9" s="19">
        <f>AVERAGE(J4:J6)</f>
        <v>3.5777522829570092</v>
      </c>
      <c r="K9" s="31">
        <f>J9/B9</f>
        <v>1.9959566432117205E-2</v>
      </c>
      <c r="L9" s="6">
        <f>AVERAGE(L4:L6)</f>
        <v>243.64954109322616</v>
      </c>
      <c r="M9" s="6">
        <f>AVERAGE(M4:M6)</f>
        <v>286.58256848871025</v>
      </c>
      <c r="N9" s="6">
        <f>AVERAGE(N4:N6)</f>
        <v>7.9606269024641749</v>
      </c>
      <c r="O9" s="20">
        <f>K9*I9</f>
        <v>0.59878699296351612</v>
      </c>
      <c r="P9" s="10">
        <f>AVERAGE(P4:P6)</f>
        <v>12.800000000000002</v>
      </c>
      <c r="Q9" s="10">
        <f>AVERAGE(Q4:Q6)</f>
        <v>36.969151335043627</v>
      </c>
      <c r="R9" s="19">
        <f>AVERAGE(R4:R6)</f>
        <v>57.563417153666627</v>
      </c>
      <c r="S9" s="20">
        <f>AVERAGE(S4:S6)</f>
        <v>0.32113482373035773</v>
      </c>
    </row>
    <row r="10" spans="1:19" x14ac:dyDescent="0.25">
      <c r="B10" s="10"/>
      <c r="C10" s="10"/>
      <c r="G10" s="10"/>
      <c r="L10" s="3">
        <f>L9-B9</f>
        <v>64.399541093226162</v>
      </c>
      <c r="M10" s="3">
        <f>M9-B9</f>
        <v>107.33256848871025</v>
      </c>
      <c r="P10" s="10"/>
      <c r="Q10" s="10"/>
    </row>
    <row r="11" spans="1:19" x14ac:dyDescent="0.25">
      <c r="B11" s="10"/>
      <c r="C11" s="10"/>
      <c r="G11" s="10"/>
      <c r="L11" s="55">
        <f>L10/B9</f>
        <v>0.3592721957781097</v>
      </c>
      <c r="M11" s="55">
        <f>M10/B9</f>
        <v>0.59878699296351601</v>
      </c>
      <c r="P11" s="10"/>
      <c r="Q11" s="10"/>
    </row>
    <row r="12" spans="1:19" x14ac:dyDescent="0.25">
      <c r="A12" s="17" t="s">
        <v>17</v>
      </c>
      <c r="B12" s="10">
        <v>180</v>
      </c>
      <c r="C12" s="10"/>
      <c r="D12" s="3"/>
      <c r="E12" s="48" t="s">
        <v>85</v>
      </c>
      <c r="M12" s="10">
        <v>221.35487944890929</v>
      </c>
      <c r="N12" s="9"/>
      <c r="O12" s="9">
        <f>M12/B12-1</f>
        <v>0.22974933027171818</v>
      </c>
      <c r="P12" s="10">
        <v>12.8</v>
      </c>
      <c r="Q12" s="10">
        <f>M12*0.129</f>
        <v>28.554779448909297</v>
      </c>
      <c r="R12" s="33">
        <f>M12-P12-Q12-B12</f>
        <v>9.9999999974897946E-5</v>
      </c>
      <c r="S12" s="9">
        <f>R12/B12</f>
        <v>5.555555554160997E-7</v>
      </c>
    </row>
    <row r="13" spans="1:19" x14ac:dyDescent="0.25">
      <c r="A13" s="17" t="s">
        <v>17</v>
      </c>
      <c r="B13" s="10">
        <v>200</v>
      </c>
      <c r="C13" s="10"/>
      <c r="E13" s="48" t="s">
        <v>86</v>
      </c>
      <c r="K13" s="2"/>
      <c r="L13" s="2"/>
      <c r="M13" s="10">
        <v>244.31700344431687</v>
      </c>
      <c r="N13" s="9"/>
      <c r="O13" s="9">
        <f>M13/B13-1</f>
        <v>0.2215850172215843</v>
      </c>
      <c r="P13" s="10">
        <v>12.8</v>
      </c>
      <c r="Q13" s="10">
        <f>M13*0.129</f>
        <v>31.516893444316878</v>
      </c>
      <c r="R13" s="33">
        <f>M13-P13-Q13-B13</f>
        <v>1.0999999997807208E-4</v>
      </c>
      <c r="S13" s="9">
        <f>R13/B13</f>
        <v>5.499999998903604E-7</v>
      </c>
    </row>
    <row r="14" spans="1:19" x14ac:dyDescent="0.25">
      <c r="A14" s="17"/>
      <c r="B14" s="10"/>
      <c r="C14" s="10"/>
      <c r="E14" s="48" t="s">
        <v>87</v>
      </c>
      <c r="K14" s="2"/>
      <c r="L14" s="2"/>
      <c r="M14" s="10"/>
      <c r="N14" s="9"/>
      <c r="O14" s="9"/>
      <c r="P14" s="10"/>
      <c r="Q14" s="10"/>
      <c r="R14" s="33"/>
      <c r="S14" s="9"/>
    </row>
    <row r="15" spans="1:19" x14ac:dyDescent="0.25">
      <c r="B15" s="59" t="s">
        <v>75</v>
      </c>
      <c r="C15" s="59" t="s">
        <v>1</v>
      </c>
      <c r="R15" s="5"/>
      <c r="S15" s="5"/>
    </row>
    <row r="16" spans="1:19" x14ac:dyDescent="0.25">
      <c r="A16" s="56" t="s">
        <v>76</v>
      </c>
      <c r="B16" s="58">
        <f>B6/36</f>
        <v>4.979166666666667</v>
      </c>
      <c r="C16" s="58">
        <f t="shared" ref="C16:C17" si="2">B16*36</f>
        <v>179.25</v>
      </c>
      <c r="M16" t="s">
        <v>74</v>
      </c>
      <c r="O16" s="55">
        <f>SUM(N9/B16)-1</f>
        <v>0.59878699296351612</v>
      </c>
    </row>
    <row r="17" spans="1:16" x14ac:dyDescent="0.25">
      <c r="A17" s="56" t="s">
        <v>77</v>
      </c>
      <c r="B17" s="58">
        <f>G4/36</f>
        <v>5.0975000000000001</v>
      </c>
      <c r="C17" s="58">
        <f t="shared" si="2"/>
        <v>183.51</v>
      </c>
    </row>
    <row r="18" spans="1:16" x14ac:dyDescent="0.25">
      <c r="A18" s="57" t="s">
        <v>70</v>
      </c>
      <c r="B18" s="58">
        <v>6.99</v>
      </c>
      <c r="C18" s="58">
        <f>B18*36</f>
        <v>251.64000000000001</v>
      </c>
      <c r="D18" t="s">
        <v>68</v>
      </c>
      <c r="J18" s="3"/>
    </row>
    <row r="19" spans="1:16" ht="13.5" customHeight="1" x14ac:dyDescent="0.25">
      <c r="A19" s="57" t="s">
        <v>71</v>
      </c>
      <c r="B19" s="58">
        <f>SUM(20.99/3)</f>
        <v>6.9966666666666661</v>
      </c>
      <c r="C19" s="58">
        <f>B19*36</f>
        <v>251.88</v>
      </c>
      <c r="D19" s="49" t="s">
        <v>69</v>
      </c>
      <c r="E19" s="50"/>
      <c r="F19" s="49"/>
      <c r="G19" s="63"/>
      <c r="H19" s="63"/>
    </row>
    <row r="20" spans="1:16" ht="13.5" customHeight="1" x14ac:dyDescent="0.25">
      <c r="A20" s="60" t="s">
        <v>22</v>
      </c>
      <c r="B20" s="61">
        <f>AVERAGE(B16:B19)</f>
        <v>6.015833333333334</v>
      </c>
      <c r="C20" s="61">
        <f>AVERAGE(C16:C19)</f>
        <v>216.57</v>
      </c>
      <c r="D20" s="49"/>
      <c r="E20" s="50"/>
      <c r="F20" s="49"/>
      <c r="G20" s="50"/>
      <c r="H20" s="50"/>
    </row>
    <row r="21" spans="1:16" x14ac:dyDescent="0.25">
      <c r="D21" s="51"/>
      <c r="E21" s="20"/>
      <c r="F21" s="49"/>
      <c r="G21" s="52"/>
      <c r="H21" s="49"/>
      <c r="K21" s="3"/>
      <c r="L21" s="3"/>
    </row>
    <row r="22" spans="1:16" x14ac:dyDescent="0.25">
      <c r="A22" s="56" t="s">
        <v>78</v>
      </c>
      <c r="B22" s="3">
        <f>N9</f>
        <v>7.9606269024641749</v>
      </c>
      <c r="C22" s="3">
        <f>B22*36</f>
        <v>286.58256848871031</v>
      </c>
      <c r="D22" s="51"/>
      <c r="E22" s="20"/>
      <c r="F22" s="49"/>
      <c r="G22" s="52"/>
      <c r="H22" s="49"/>
      <c r="I22" s="3"/>
      <c r="M22" s="4"/>
      <c r="N22" s="4"/>
      <c r="O22" s="4"/>
      <c r="P22" s="3"/>
    </row>
    <row r="23" spans="1:16" x14ac:dyDescent="0.25">
      <c r="A23" s="56" t="s">
        <v>79</v>
      </c>
      <c r="B23" s="55">
        <f>SUM((B22-B20)/B20)</f>
        <v>0.32327916372863397</v>
      </c>
      <c r="C23" s="55">
        <f>SUM((C22-C20)/C20)</f>
        <v>0.32327916372863424</v>
      </c>
      <c r="D23" s="51"/>
      <c r="E23" s="20"/>
      <c r="F23" s="49"/>
      <c r="G23" s="52"/>
      <c r="H23" s="49"/>
    </row>
    <row r="24" spans="1:16" x14ac:dyDescent="0.25">
      <c r="E24" s="20"/>
      <c r="F24" s="49"/>
      <c r="G24" s="52"/>
      <c r="H24" s="49"/>
    </row>
    <row r="25" spans="1:16" x14ac:dyDescent="0.25">
      <c r="D25" s="49"/>
      <c r="E25" s="49"/>
      <c r="F25" s="49"/>
      <c r="G25" s="49"/>
      <c r="H25" s="49"/>
    </row>
    <row r="27" spans="1:16" x14ac:dyDescent="0.25">
      <c r="E27" s="35"/>
      <c r="G27" s="41"/>
    </row>
  </sheetData>
  <mergeCells count="1">
    <mergeCell ref="G19:H19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C141-DCDB-4E3B-B31D-F80D8CD9196A}">
  <dimension ref="A1:Q25"/>
  <sheetViews>
    <sheetView workbookViewId="0">
      <selection activeCell="G17" sqref="G17"/>
    </sheetView>
  </sheetViews>
  <sheetFormatPr defaultRowHeight="15" x14ac:dyDescent="0.25"/>
  <cols>
    <col min="1" max="1" width="22.140625" customWidth="1"/>
    <col min="2" max="2" width="9.85546875" bestFit="1" customWidth="1"/>
    <col min="3" max="3" width="18.85546875" customWidth="1"/>
    <col min="11" max="11" width="12.85546875" customWidth="1"/>
    <col min="12" max="12" width="9.85546875" bestFit="1" customWidth="1"/>
    <col min="17" max="17" width="11.42578125" customWidth="1"/>
  </cols>
  <sheetData>
    <row r="1" spans="1:17" x14ac:dyDescent="0.25">
      <c r="A1" s="21">
        <v>43711</v>
      </c>
      <c r="D1" t="s">
        <v>35</v>
      </c>
      <c r="I1" t="s">
        <v>36</v>
      </c>
      <c r="K1" t="s">
        <v>46</v>
      </c>
      <c r="L1" s="21">
        <v>43703</v>
      </c>
    </row>
    <row r="2" spans="1:17" x14ac:dyDescent="0.25">
      <c r="A2" t="s">
        <v>33</v>
      </c>
      <c r="B2" s="21">
        <v>43630</v>
      </c>
      <c r="D2" t="s">
        <v>40</v>
      </c>
      <c r="F2" t="s">
        <v>41</v>
      </c>
    </row>
    <row r="3" spans="1:17" x14ac:dyDescent="0.25">
      <c r="A3" t="s">
        <v>34</v>
      </c>
      <c r="B3">
        <v>80</v>
      </c>
      <c r="D3" t="s">
        <v>39</v>
      </c>
      <c r="G3" s="43">
        <v>179.25</v>
      </c>
    </row>
    <row r="4" spans="1:17" x14ac:dyDescent="0.25">
      <c r="A4" t="s">
        <v>37</v>
      </c>
      <c r="B4">
        <v>181.42</v>
      </c>
      <c r="M4" s="5" t="s">
        <v>25</v>
      </c>
      <c r="N4" s="5">
        <v>35</v>
      </c>
      <c r="O4">
        <v>1.0745972915181753E-2</v>
      </c>
      <c r="Q4">
        <f t="shared" ref="Q4:Q13" si="0">O4*N4</f>
        <v>0.37610905203136136</v>
      </c>
    </row>
    <row r="5" spans="1:17" x14ac:dyDescent="0.25">
      <c r="A5" t="s">
        <v>38</v>
      </c>
      <c r="B5">
        <v>183.51</v>
      </c>
      <c r="M5" s="5" t="s">
        <v>26</v>
      </c>
      <c r="N5" s="5">
        <v>31</v>
      </c>
      <c r="O5">
        <v>5.1729729729729718E-3</v>
      </c>
      <c r="Q5">
        <f t="shared" si="0"/>
        <v>0.16036216216216212</v>
      </c>
    </row>
    <row r="6" spans="1:17" x14ac:dyDescent="0.25">
      <c r="M6" s="5" t="s">
        <v>27</v>
      </c>
      <c r="N6" s="5">
        <v>28</v>
      </c>
      <c r="O6">
        <v>2.7244285111767189E-2</v>
      </c>
      <c r="Q6">
        <f t="shared" si="0"/>
        <v>0.76283998312948131</v>
      </c>
    </row>
    <row r="7" spans="1:17" x14ac:dyDescent="0.25">
      <c r="A7" t="s">
        <v>42</v>
      </c>
      <c r="C7" s="43">
        <v>214.42</v>
      </c>
      <c r="M7" s="5" t="s">
        <v>28</v>
      </c>
      <c r="N7" s="5">
        <v>25</v>
      </c>
      <c r="O7">
        <v>1.1529915781764922E-2</v>
      </c>
      <c r="Q7">
        <f t="shared" si="0"/>
        <v>0.28824789454412303</v>
      </c>
    </row>
    <row r="8" spans="1:17" x14ac:dyDescent="0.25">
      <c r="A8" t="s">
        <v>43</v>
      </c>
      <c r="C8" s="43">
        <v>5.96</v>
      </c>
      <c r="M8" s="5" t="s">
        <v>5</v>
      </c>
      <c r="N8" s="5">
        <v>39</v>
      </c>
      <c r="O8">
        <v>3.205128205128205E-3</v>
      </c>
      <c r="Q8">
        <f t="shared" si="0"/>
        <v>0.125</v>
      </c>
    </row>
    <row r="9" spans="1:17" x14ac:dyDescent="0.25">
      <c r="M9" s="5" t="s">
        <v>9</v>
      </c>
      <c r="N9" s="5">
        <v>36</v>
      </c>
      <c r="O9">
        <v>2.9513888888888888E-2</v>
      </c>
      <c r="Q9">
        <f t="shared" si="0"/>
        <v>1.0625</v>
      </c>
    </row>
    <row r="10" spans="1:17" x14ac:dyDescent="0.25">
      <c r="A10" t="s">
        <v>44</v>
      </c>
      <c r="D10" s="43">
        <v>549.29999999999995</v>
      </c>
      <c r="G10" t="s">
        <v>50</v>
      </c>
      <c r="I10" s="43">
        <v>208.08</v>
      </c>
      <c r="J10" t="s">
        <v>49</v>
      </c>
      <c r="M10" s="5" t="s">
        <v>11</v>
      </c>
      <c r="N10" s="5">
        <v>34</v>
      </c>
      <c r="O10">
        <v>3.6764705882352942E-2</v>
      </c>
      <c r="Q10">
        <f t="shared" si="0"/>
        <v>1.25</v>
      </c>
    </row>
    <row r="11" spans="1:17" x14ac:dyDescent="0.25">
      <c r="A11" t="s">
        <v>45</v>
      </c>
      <c r="D11" s="43">
        <v>541.1</v>
      </c>
      <c r="G11" t="s">
        <v>51</v>
      </c>
      <c r="I11" s="43">
        <v>185.76</v>
      </c>
      <c r="J11" t="s">
        <v>49</v>
      </c>
      <c r="M11" s="5" t="s">
        <v>12</v>
      </c>
      <c r="N11" s="5">
        <v>30</v>
      </c>
      <c r="O11">
        <v>2.5000000000000001E-2</v>
      </c>
      <c r="Q11">
        <f t="shared" si="0"/>
        <v>0.75</v>
      </c>
    </row>
    <row r="12" spans="1:17" x14ac:dyDescent="0.25">
      <c r="A12" s="64" t="s">
        <v>47</v>
      </c>
      <c r="B12" s="64"/>
      <c r="C12" s="64"/>
      <c r="D12" s="43">
        <v>506.1</v>
      </c>
      <c r="G12" t="s">
        <v>48</v>
      </c>
      <c r="I12" s="43">
        <v>179.64</v>
      </c>
      <c r="J12" t="s">
        <v>49</v>
      </c>
      <c r="M12" s="5" t="s">
        <v>13</v>
      </c>
      <c r="N12" s="5">
        <v>27</v>
      </c>
      <c r="O12">
        <v>6.9444444444444449E-3</v>
      </c>
      <c r="Q12">
        <f t="shared" si="0"/>
        <v>0.1875</v>
      </c>
    </row>
    <row r="13" spans="1:17" x14ac:dyDescent="0.25">
      <c r="M13" s="12" t="s">
        <v>23</v>
      </c>
      <c r="N13" s="12">
        <v>24</v>
      </c>
      <c r="O13">
        <v>5.2083333333333339E-3</v>
      </c>
      <c r="Q13">
        <f t="shared" si="0"/>
        <v>0.125</v>
      </c>
    </row>
    <row r="14" spans="1:17" x14ac:dyDescent="0.25">
      <c r="A14" t="s">
        <v>52</v>
      </c>
      <c r="B14" t="s">
        <v>53</v>
      </c>
      <c r="C14" s="35">
        <v>1.6129999999999999E-2</v>
      </c>
      <c r="N14">
        <f>SUM(N4:N13)</f>
        <v>309</v>
      </c>
      <c r="Q14">
        <f>SUM(Q4:Q13)</f>
        <v>5.0875590918671278</v>
      </c>
    </row>
    <row r="15" spans="1:17" x14ac:dyDescent="0.25">
      <c r="B15" t="s">
        <v>54</v>
      </c>
      <c r="C15" s="35">
        <v>2.0500000000000001E-2</v>
      </c>
      <c r="D15" t="s">
        <v>56</v>
      </c>
    </row>
    <row r="16" spans="1:17" x14ac:dyDescent="0.25">
      <c r="B16" t="s">
        <v>55</v>
      </c>
      <c r="C16" s="35">
        <v>2.5000000000000001E-2</v>
      </c>
      <c r="Q16" s="62">
        <f>Q14/N14</f>
        <v>1.6464592530314331E-2</v>
      </c>
    </row>
    <row r="18" spans="1:17" x14ac:dyDescent="0.25">
      <c r="A18" t="s">
        <v>57</v>
      </c>
      <c r="C18" s="43">
        <v>6.99</v>
      </c>
      <c r="D18" t="s">
        <v>58</v>
      </c>
    </row>
    <row r="19" spans="1:17" x14ac:dyDescent="0.25">
      <c r="M19" s="5" t="s">
        <v>27</v>
      </c>
      <c r="N19" s="5">
        <v>28</v>
      </c>
      <c r="O19">
        <v>2.7244285111767189E-2</v>
      </c>
      <c r="Q19">
        <f>O19*N19</f>
        <v>0.76283998312948131</v>
      </c>
    </row>
    <row r="20" spans="1:17" x14ac:dyDescent="0.25">
      <c r="A20" s="48" t="s">
        <v>72</v>
      </c>
      <c r="B20" s="44" t="s">
        <v>73</v>
      </c>
      <c r="D20" s="51"/>
      <c r="M20" s="5" t="s">
        <v>9</v>
      </c>
      <c r="N20" s="5">
        <v>36</v>
      </c>
      <c r="O20">
        <v>2.9513888888888888E-2</v>
      </c>
      <c r="Q20">
        <f>O20*N20</f>
        <v>1.0625</v>
      </c>
    </row>
    <row r="21" spans="1:17" x14ac:dyDescent="0.25">
      <c r="M21" s="5" t="s">
        <v>11</v>
      </c>
      <c r="N21" s="5">
        <v>34</v>
      </c>
      <c r="O21">
        <v>3.6764705882352942E-2</v>
      </c>
      <c r="Q21">
        <f>O21*N21</f>
        <v>1.25</v>
      </c>
    </row>
    <row r="22" spans="1:17" x14ac:dyDescent="0.25">
      <c r="M22" s="5" t="s">
        <v>12</v>
      </c>
      <c r="N22" s="5">
        <v>30</v>
      </c>
      <c r="O22">
        <v>2.5000000000000001E-2</v>
      </c>
      <c r="Q22">
        <f>O22*N22</f>
        <v>0.75</v>
      </c>
    </row>
    <row r="23" spans="1:17" x14ac:dyDescent="0.25">
      <c r="N23">
        <f>SUM(N19:N22)</f>
        <v>128</v>
      </c>
      <c r="Q23">
        <f t="shared" ref="Q23" si="1">SUM(Q19:Q22)</f>
        <v>3.8253399831294814</v>
      </c>
    </row>
    <row r="25" spans="1:17" x14ac:dyDescent="0.25">
      <c r="Q25" s="62">
        <f>Q23/N23</f>
        <v>2.9885468618199074E-2</v>
      </c>
    </row>
  </sheetData>
  <mergeCells count="1">
    <mergeCell ref="A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55B7-CDB3-43B3-94E0-AB533F5756BD}">
  <dimension ref="A1:Q24"/>
  <sheetViews>
    <sheetView workbookViewId="0">
      <selection activeCell="J10" sqref="J10"/>
    </sheetView>
  </sheetViews>
  <sheetFormatPr defaultRowHeight="15" x14ac:dyDescent="0.25"/>
  <cols>
    <col min="1" max="1" width="22.5703125" customWidth="1"/>
    <col min="3" max="3" width="16.140625" customWidth="1"/>
    <col min="4" max="4" width="21.85546875" customWidth="1"/>
    <col min="5" max="5" width="8.42578125" customWidth="1"/>
    <col min="6" max="6" width="11.42578125" customWidth="1"/>
    <col min="7" max="8" width="12.140625" customWidth="1"/>
    <col min="10" max="10" width="11.5703125" bestFit="1" customWidth="1"/>
    <col min="15" max="15" width="11.42578125" customWidth="1"/>
  </cols>
  <sheetData>
    <row r="1" spans="1:17" x14ac:dyDescent="0.25">
      <c r="C1" s="21">
        <v>43698</v>
      </c>
    </row>
    <row r="3" spans="1:17" s="1" customFormat="1" ht="58.5" customHeight="1" x14ac:dyDescent="0.25">
      <c r="A3" s="11" t="s">
        <v>0</v>
      </c>
      <c r="B3" s="11" t="s">
        <v>1</v>
      </c>
      <c r="C3" s="11" t="s">
        <v>29</v>
      </c>
      <c r="D3" s="42" t="s">
        <v>20</v>
      </c>
      <c r="E3" s="11" t="s">
        <v>3</v>
      </c>
      <c r="F3" s="29" t="s">
        <v>31</v>
      </c>
      <c r="G3" s="11" t="s">
        <v>6</v>
      </c>
      <c r="H3" s="11" t="s">
        <v>2</v>
      </c>
      <c r="I3" s="11" t="s">
        <v>14</v>
      </c>
      <c r="J3" s="11" t="s">
        <v>15</v>
      </c>
      <c r="K3" s="11" t="s">
        <v>24</v>
      </c>
      <c r="L3" s="28" t="s">
        <v>30</v>
      </c>
      <c r="M3" s="11" t="s">
        <v>18</v>
      </c>
      <c r="N3" s="11" t="s">
        <v>10</v>
      </c>
      <c r="O3" s="11" t="s">
        <v>7</v>
      </c>
      <c r="P3" s="11" t="s">
        <v>4</v>
      </c>
      <c r="Q3" s="11" t="s">
        <v>8</v>
      </c>
    </row>
    <row r="4" spans="1:17" s="5" customFormat="1" x14ac:dyDescent="0.25">
      <c r="A4" s="5" t="s">
        <v>25</v>
      </c>
      <c r="B4" s="10">
        <v>80</v>
      </c>
      <c r="C4" s="10">
        <v>56.12</v>
      </c>
      <c r="D4" s="9">
        <f>(F4/C4)-1</f>
        <v>0.60370634354953667</v>
      </c>
      <c r="E4" s="7">
        <v>43001</v>
      </c>
      <c r="F4" s="10">
        <v>90</v>
      </c>
      <c r="G4" s="7">
        <v>44075</v>
      </c>
      <c r="H4" s="5">
        <v>35</v>
      </c>
      <c r="I4" s="8">
        <f>J4*B4</f>
        <v>0.85967783321454028</v>
      </c>
      <c r="J4" s="30">
        <v>1.0745972915181753E-2</v>
      </c>
      <c r="K4" s="9">
        <f>J4*12</f>
        <v>0.12895167498218102</v>
      </c>
      <c r="L4" s="6">
        <f>SUM(H4*I4)+B4</f>
        <v>110.08872416250891</v>
      </c>
      <c r="M4" s="9">
        <f>J4*H4</f>
        <v>0.37610905203136136</v>
      </c>
      <c r="N4" s="10">
        <v>12.8</v>
      </c>
      <c r="O4" s="10">
        <f>L4*0.129</f>
        <v>14.201445416963649</v>
      </c>
      <c r="P4" s="8">
        <f>L4-N4-O4-B4</f>
        <v>3.0872787455452624</v>
      </c>
      <c r="Q4" s="9">
        <f>P4/B4</f>
        <v>3.8590984319315777E-2</v>
      </c>
    </row>
    <row r="5" spans="1:17" s="5" customFormat="1" x14ac:dyDescent="0.25">
      <c r="A5" s="5" t="s">
        <v>26</v>
      </c>
      <c r="B5" s="10">
        <v>80</v>
      </c>
      <c r="C5" s="10">
        <v>65.86</v>
      </c>
      <c r="D5" s="9">
        <f>(F5/C5)-1</f>
        <v>0.29061645915578493</v>
      </c>
      <c r="E5" s="7">
        <v>43113</v>
      </c>
      <c r="F5" s="10">
        <v>85</v>
      </c>
      <c r="G5" s="7">
        <v>44075</v>
      </c>
      <c r="H5" s="5">
        <v>31</v>
      </c>
      <c r="I5" s="8">
        <f t="shared" ref="I5:I7" si="0">J5*B5</f>
        <v>0.41383783783783773</v>
      </c>
      <c r="J5" s="30">
        <v>5.1729729729729718E-3</v>
      </c>
      <c r="K5" s="9">
        <f t="shared" ref="K5:K8" si="1">J5*12</f>
        <v>6.2075675675675665E-2</v>
      </c>
      <c r="L5" s="6">
        <f t="shared" ref="L5" si="2">SUM(H5*I5)+B5</f>
        <v>92.828972972972963</v>
      </c>
      <c r="M5" s="9">
        <f t="shared" ref="M5:M7" si="3">J5*H5</f>
        <v>0.16036216216216212</v>
      </c>
      <c r="N5" s="10">
        <v>12.8</v>
      </c>
      <c r="O5" s="10">
        <f t="shared" ref="O5:O7" si="4">L5*0.129</f>
        <v>11.974937513513513</v>
      </c>
      <c r="P5" s="8">
        <f t="shared" ref="P5:P7" si="5">L5-N5-O5-B5</f>
        <v>-11.945964540540544</v>
      </c>
      <c r="Q5" s="9">
        <f>P5/B5</f>
        <v>-0.14932455675675679</v>
      </c>
    </row>
    <row r="6" spans="1:17" s="5" customFormat="1" x14ac:dyDescent="0.25">
      <c r="A6" s="5" t="s">
        <v>27</v>
      </c>
      <c r="B6" s="10">
        <v>80</v>
      </c>
      <c r="C6" s="10">
        <v>47.42</v>
      </c>
      <c r="D6" s="9">
        <f>(F6/C6)-1</f>
        <v>1.5305778152678196</v>
      </c>
      <c r="E6" s="7">
        <v>43211</v>
      </c>
      <c r="F6" s="10">
        <v>120</v>
      </c>
      <c r="G6" s="7">
        <v>44075</v>
      </c>
      <c r="H6" s="5">
        <v>28</v>
      </c>
      <c r="I6" s="8">
        <f t="shared" si="0"/>
        <v>2.1795428089413753</v>
      </c>
      <c r="J6" s="30">
        <v>2.7244285111767189E-2</v>
      </c>
      <c r="K6" s="9">
        <f t="shared" si="1"/>
        <v>0.32693142134120629</v>
      </c>
      <c r="L6" s="6">
        <f>SUM(H6*I6)+B6</f>
        <v>141.02719865035851</v>
      </c>
      <c r="M6" s="9">
        <f t="shared" si="3"/>
        <v>0.76283998312948131</v>
      </c>
      <c r="N6" s="10">
        <v>12.8</v>
      </c>
      <c r="O6" s="10">
        <f t="shared" si="4"/>
        <v>18.192508625896249</v>
      </c>
      <c r="P6" s="8">
        <f t="shared" si="5"/>
        <v>30.03469002446225</v>
      </c>
      <c r="Q6" s="9">
        <f>P6/B6</f>
        <v>0.37543362530577812</v>
      </c>
    </row>
    <row r="7" spans="1:17" s="5" customFormat="1" x14ac:dyDescent="0.25">
      <c r="A7" s="5" t="s">
        <v>28</v>
      </c>
      <c r="B7" s="10">
        <v>80</v>
      </c>
      <c r="C7" s="10">
        <v>54.62</v>
      </c>
      <c r="D7" s="9">
        <f>(F7/C7)-1</f>
        <v>0.64774807762724285</v>
      </c>
      <c r="E7" s="7">
        <v>43288</v>
      </c>
      <c r="F7" s="10">
        <v>90</v>
      </c>
      <c r="G7" s="7">
        <v>44075</v>
      </c>
      <c r="H7" s="5">
        <v>25</v>
      </c>
      <c r="I7" s="8">
        <f t="shared" si="0"/>
        <v>0.92239326254119369</v>
      </c>
      <c r="J7" s="30">
        <v>1.1529915781764922E-2</v>
      </c>
      <c r="K7" s="9">
        <f t="shared" si="1"/>
        <v>0.13835898938117908</v>
      </c>
      <c r="L7" s="6">
        <f>SUM(H7*I7)+B7</f>
        <v>103.05983156352984</v>
      </c>
      <c r="M7" s="9">
        <f t="shared" si="3"/>
        <v>0.28824789454412303</v>
      </c>
      <c r="N7" s="10">
        <v>12.8</v>
      </c>
      <c r="O7" s="10">
        <f t="shared" si="4"/>
        <v>13.29471827169535</v>
      </c>
      <c r="P7" s="8">
        <f t="shared" si="5"/>
        <v>-3.0348867081655015</v>
      </c>
      <c r="Q7" s="9">
        <f>P7/B7</f>
        <v>-3.7936083852068772E-2</v>
      </c>
    </row>
    <row r="8" spans="1:17" x14ac:dyDescent="0.25">
      <c r="A8" s="22" t="s">
        <v>21</v>
      </c>
      <c r="B8" s="23">
        <f>SUM(B4:B7)</f>
        <v>320</v>
      </c>
      <c r="C8" s="23">
        <f>SUM(C4:C7)</f>
        <v>224.01999999999998</v>
      </c>
      <c r="D8" s="24">
        <f>(F8/C8)-1</f>
        <v>0.71859655387911814</v>
      </c>
      <c r="E8" s="25"/>
      <c r="F8" s="23">
        <f>SUM(F4:F7)</f>
        <v>385</v>
      </c>
      <c r="G8" s="25"/>
      <c r="H8" s="26">
        <f>SUM(H4:H7)</f>
        <v>119</v>
      </c>
      <c r="I8" s="27">
        <f>SUM(I4:I7)</f>
        <v>4.3754517425349473</v>
      </c>
      <c r="J8" s="32">
        <f>I8/B8</f>
        <v>1.367328669542171E-2</v>
      </c>
      <c r="K8" s="24">
        <f t="shared" si="1"/>
        <v>0.1640794403450605</v>
      </c>
      <c r="L8" s="23">
        <f>SUM(L4:L7)</f>
        <v>447.00472734937023</v>
      </c>
      <c r="M8" s="24">
        <f>(F8-B8)/B8</f>
        <v>0.203125</v>
      </c>
      <c r="N8" s="23">
        <f>SUM(N4:N7)</f>
        <v>51.2</v>
      </c>
      <c r="O8" s="23">
        <f>SUM(O4:O7)</f>
        <v>57.663609828068765</v>
      </c>
      <c r="P8" s="27">
        <f>SUM(P4:P7)</f>
        <v>18.141117521301467</v>
      </c>
      <c r="Q8" s="24">
        <f>P8/B8</f>
        <v>5.6690992254067082E-2</v>
      </c>
    </row>
    <row r="9" spans="1:17" x14ac:dyDescent="0.25">
      <c r="C9" s="10"/>
      <c r="F9" s="10"/>
      <c r="J9" s="35"/>
      <c r="K9" s="9"/>
      <c r="L9" s="9"/>
      <c r="M9" s="5"/>
    </row>
    <row r="10" spans="1:17" x14ac:dyDescent="0.25">
      <c r="A10" s="17" t="s">
        <v>22</v>
      </c>
      <c r="B10" s="10">
        <f>SUM(B4:B7)/4</f>
        <v>80</v>
      </c>
      <c r="C10" s="10">
        <f>SUM(C4:C7)/4</f>
        <v>56.004999999999995</v>
      </c>
      <c r="D10" s="9">
        <f>(F10/C10)-1</f>
        <v>0.71859655387911814</v>
      </c>
      <c r="E10" s="7">
        <f>AVERAGE(E4:E7)</f>
        <v>43153.25</v>
      </c>
      <c r="F10" s="10">
        <f>AVERAGE(F4:F7)</f>
        <v>96.25</v>
      </c>
      <c r="G10" s="7">
        <f>AVERAGE(G4:G7)</f>
        <v>44075</v>
      </c>
      <c r="H10" s="18">
        <f>AVERAGE(H4:H7)</f>
        <v>29.75</v>
      </c>
      <c r="I10" s="19">
        <f>AVERAGE(I4:I7)</f>
        <v>1.0938629356337368</v>
      </c>
      <c r="J10" s="31">
        <f>I10/B10</f>
        <v>1.367328669542171E-2</v>
      </c>
      <c r="K10" s="9">
        <f>J10*12</f>
        <v>0.1640794403450605</v>
      </c>
      <c r="L10" s="6">
        <f>AVERAGE(L4:L7)</f>
        <v>111.75118183734256</v>
      </c>
      <c r="M10" s="20">
        <f>J10*H10</f>
        <v>0.40678027918879583</v>
      </c>
      <c r="N10" s="10">
        <f>AVERAGE(N4:N7)</f>
        <v>12.8</v>
      </c>
      <c r="O10" s="10">
        <f>AVERAGE(O4:O7)</f>
        <v>14.415902457017191</v>
      </c>
      <c r="P10" s="19">
        <f>AVERAGE(P4:P7)</f>
        <v>4.5352793803253668</v>
      </c>
      <c r="Q10" s="20">
        <f>AVERAGE(Q4:Q7)</f>
        <v>5.6690992254067082E-2</v>
      </c>
    </row>
    <row r="11" spans="1:17" x14ac:dyDescent="0.25">
      <c r="B11" s="10"/>
      <c r="F11" s="10"/>
      <c r="N11" s="10"/>
      <c r="O11" s="10"/>
    </row>
    <row r="12" spans="1:17" x14ac:dyDescent="0.25">
      <c r="A12" s="17" t="s">
        <v>17</v>
      </c>
      <c r="B12" s="10">
        <v>80</v>
      </c>
      <c r="C12" s="3"/>
      <c r="F12" s="10">
        <v>106.54420206659013</v>
      </c>
      <c r="K12" s="9"/>
      <c r="L12" s="9"/>
      <c r="M12" s="9">
        <f>F12/B12-1</f>
        <v>0.33180252583237668</v>
      </c>
      <c r="N12" s="10">
        <v>12.8</v>
      </c>
      <c r="O12" s="10">
        <f>F12*0.129</f>
        <v>13.744202066590127</v>
      </c>
      <c r="P12" s="33">
        <f>F12-N12-O12-B12</f>
        <v>0</v>
      </c>
      <c r="Q12" s="9">
        <f>P12/B12</f>
        <v>0</v>
      </c>
    </row>
    <row r="13" spans="1:17" x14ac:dyDescent="0.25">
      <c r="A13" s="17" t="s">
        <v>17</v>
      </c>
      <c r="B13" s="10">
        <v>90</v>
      </c>
      <c r="F13" s="10">
        <v>118.02525832376578</v>
      </c>
      <c r="J13" s="2"/>
      <c r="K13" s="9"/>
      <c r="L13" s="9"/>
      <c r="M13" s="9">
        <f>F13/B13-1</f>
        <v>0.31139175915295314</v>
      </c>
      <c r="N13" s="10">
        <v>12.8</v>
      </c>
      <c r="O13" s="10">
        <f>F13*0.129</f>
        <v>15.225258323765786</v>
      </c>
      <c r="P13" s="33">
        <f>F13-N13-O13-B13</f>
        <v>0</v>
      </c>
      <c r="Q13" s="9">
        <f>P13/B13</f>
        <v>0</v>
      </c>
    </row>
    <row r="14" spans="1:17" x14ac:dyDescent="0.25">
      <c r="P14" s="5"/>
      <c r="Q14" s="5"/>
    </row>
    <row r="15" spans="1:17" x14ac:dyDescent="0.25">
      <c r="K15" s="3"/>
    </row>
    <row r="16" spans="1:17" x14ac:dyDescent="0.25">
      <c r="I16" s="3"/>
    </row>
    <row r="17" spans="3:14" ht="60.75" customHeight="1" x14ac:dyDescent="0.25">
      <c r="D17" s="42" t="s">
        <v>20</v>
      </c>
      <c r="F17" s="65" t="s">
        <v>32</v>
      </c>
      <c r="G17" s="66"/>
    </row>
    <row r="18" spans="3:14" x14ac:dyDescent="0.25">
      <c r="C18" s="36" t="s">
        <v>25</v>
      </c>
      <c r="D18" s="37">
        <v>0.60370634354953667</v>
      </c>
      <c r="E18" s="38"/>
      <c r="F18" s="40">
        <f>D18*1.78%</f>
        <v>1.0745972915181753E-2</v>
      </c>
      <c r="G18" s="39"/>
      <c r="J18" s="3"/>
    </row>
    <row r="19" spans="3:14" x14ac:dyDescent="0.25">
      <c r="C19" s="36" t="s">
        <v>26</v>
      </c>
      <c r="D19" s="37">
        <v>0.29061645915578493</v>
      </c>
      <c r="E19" s="38"/>
      <c r="F19" s="40">
        <f t="shared" ref="F19:F21" si="6">D19*1.78%</f>
        <v>5.1729729729729718E-3</v>
      </c>
      <c r="G19" s="39"/>
      <c r="H19" s="3"/>
      <c r="K19" s="4"/>
      <c r="L19" s="4"/>
      <c r="M19" s="4"/>
      <c r="N19" s="3"/>
    </row>
    <row r="20" spans="3:14" x14ac:dyDescent="0.25">
      <c r="C20" s="36" t="s">
        <v>27</v>
      </c>
      <c r="D20" s="37">
        <v>1.5305778152678196</v>
      </c>
      <c r="E20" s="38"/>
      <c r="F20" s="40">
        <f t="shared" si="6"/>
        <v>2.7244285111767189E-2</v>
      </c>
      <c r="G20" s="39"/>
    </row>
    <row r="21" spans="3:14" x14ac:dyDescent="0.25">
      <c r="C21" s="36" t="s">
        <v>28</v>
      </c>
      <c r="D21" s="37">
        <v>0.64774807762724285</v>
      </c>
      <c r="E21" s="38"/>
      <c r="F21" s="40">
        <f t="shared" si="6"/>
        <v>1.1529915781764922E-2</v>
      </c>
      <c r="G21" s="39"/>
    </row>
    <row r="24" spans="3:14" x14ac:dyDescent="0.25">
      <c r="D24" s="35"/>
      <c r="F24" s="41"/>
    </row>
  </sheetData>
  <mergeCells count="1">
    <mergeCell ref="F17:G17"/>
  </mergeCell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C008-5E3E-41AF-A646-67B422DA6C33}">
  <dimension ref="A1"/>
  <sheetViews>
    <sheetView workbookViewId="0">
      <selection activeCell="B5" sqref="B5:F17"/>
    </sheetView>
  </sheetViews>
  <sheetFormatPr defaultRowHeight="15" x14ac:dyDescent="0.25"/>
  <cols>
    <col min="6" max="6" width="12" bestFit="1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FB28-A5AE-4495-9E16-40082DC08E5F}">
  <dimension ref="A1:P21"/>
  <sheetViews>
    <sheetView workbookViewId="0">
      <selection activeCell="F15" sqref="F15"/>
    </sheetView>
  </sheetViews>
  <sheetFormatPr defaultRowHeight="15" x14ac:dyDescent="0.25"/>
  <cols>
    <col min="1" max="1" width="22.5703125" customWidth="1"/>
    <col min="3" max="3" width="16.140625" customWidth="1"/>
    <col min="5" max="5" width="8.42578125" customWidth="1"/>
    <col min="6" max="7" width="12.140625" customWidth="1"/>
    <col min="8" max="8" width="11.42578125" customWidth="1"/>
    <col min="10" max="10" width="11.5703125" bestFit="1" customWidth="1"/>
    <col min="14" max="14" width="11.42578125" customWidth="1"/>
  </cols>
  <sheetData>
    <row r="1" spans="1:16" x14ac:dyDescent="0.25">
      <c r="C1" s="21">
        <v>43675</v>
      </c>
    </row>
    <row r="3" spans="1:16" s="1" customFormat="1" ht="58.5" customHeight="1" x14ac:dyDescent="0.25">
      <c r="A3" s="11" t="s">
        <v>0</v>
      </c>
      <c r="B3" s="11" t="s">
        <v>1</v>
      </c>
      <c r="C3" s="11" t="s">
        <v>19</v>
      </c>
      <c r="D3" s="11" t="s">
        <v>20</v>
      </c>
      <c r="E3" s="11" t="s">
        <v>3</v>
      </c>
      <c r="F3" s="11" t="s">
        <v>6</v>
      </c>
      <c r="G3" s="11" t="s">
        <v>2</v>
      </c>
      <c r="H3" s="11" t="s">
        <v>16</v>
      </c>
      <c r="I3" s="11" t="s">
        <v>14</v>
      </c>
      <c r="J3" s="11" t="s">
        <v>15</v>
      </c>
      <c r="K3" s="11" t="s">
        <v>24</v>
      </c>
      <c r="L3" s="11" t="s">
        <v>18</v>
      </c>
      <c r="M3" s="11" t="s">
        <v>10</v>
      </c>
      <c r="N3" s="11" t="s">
        <v>7</v>
      </c>
      <c r="O3" s="11" t="s">
        <v>4</v>
      </c>
      <c r="P3" s="11" t="s">
        <v>8</v>
      </c>
    </row>
    <row r="4" spans="1:16" s="5" customFormat="1" x14ac:dyDescent="0.25">
      <c r="A4" s="5" t="s">
        <v>5</v>
      </c>
      <c r="B4" s="10">
        <v>80</v>
      </c>
      <c r="C4" s="10">
        <v>56.24</v>
      </c>
      <c r="D4" s="9">
        <f t="shared" ref="D4:D9" si="0">(H4/C4)-1</f>
        <v>0.60028449502133707</v>
      </c>
      <c r="E4" s="7">
        <v>42461</v>
      </c>
      <c r="F4" s="7">
        <v>43678</v>
      </c>
      <c r="G4" s="5">
        <v>39</v>
      </c>
      <c r="H4" s="10">
        <v>90</v>
      </c>
      <c r="I4" s="8">
        <f>SUM(H4-B4)/G4</f>
        <v>0.25641025641025639</v>
      </c>
      <c r="J4" s="30">
        <f>I4/B4</f>
        <v>3.205128205128205E-3</v>
      </c>
      <c r="K4" s="9">
        <f>J4*12</f>
        <v>3.8461538461538464E-2</v>
      </c>
      <c r="L4" s="9">
        <f>J4*G4</f>
        <v>0.125</v>
      </c>
      <c r="M4" s="10">
        <v>12.8</v>
      </c>
      <c r="N4" s="10">
        <f>H4*0.129</f>
        <v>11.61</v>
      </c>
      <c r="O4" s="8">
        <f t="shared" ref="O4:O9" si="1">H4-M4-N40-N4-B4</f>
        <v>-14.409999999999997</v>
      </c>
      <c r="P4" s="9">
        <f t="shared" ref="P4:P10" si="2">O4/B4</f>
        <v>-0.18012499999999995</v>
      </c>
    </row>
    <row r="5" spans="1:16" s="5" customFormat="1" x14ac:dyDescent="0.25">
      <c r="A5" s="5" t="s">
        <v>9</v>
      </c>
      <c r="B5" s="10">
        <v>80</v>
      </c>
      <c r="C5" s="10">
        <v>76.989999999999995</v>
      </c>
      <c r="D5" s="9">
        <f t="shared" si="0"/>
        <v>1.1431354721392388</v>
      </c>
      <c r="E5" s="7">
        <v>42552</v>
      </c>
      <c r="F5" s="7">
        <v>43678</v>
      </c>
      <c r="G5" s="5">
        <v>36</v>
      </c>
      <c r="H5" s="10">
        <v>165</v>
      </c>
      <c r="I5" s="8">
        <f t="shared" ref="I5:I9" si="3">SUM(H5-B5)/G5</f>
        <v>2.3611111111111112</v>
      </c>
      <c r="J5" s="30">
        <f>I5/B5</f>
        <v>2.9513888888888888E-2</v>
      </c>
      <c r="K5" s="9">
        <f t="shared" ref="K5:K10" si="4">J5*12</f>
        <v>0.35416666666666663</v>
      </c>
      <c r="L5" s="9">
        <f t="shared" ref="L5:L9" si="5">J5*G5</f>
        <v>1.0625</v>
      </c>
      <c r="M5" s="10">
        <v>12.8</v>
      </c>
      <c r="N5" s="10">
        <f>H5*0.129</f>
        <v>21.285</v>
      </c>
      <c r="O5" s="8">
        <f t="shared" si="1"/>
        <v>50.914999999999992</v>
      </c>
      <c r="P5" s="9">
        <f t="shared" si="2"/>
        <v>0.63643749999999988</v>
      </c>
    </row>
    <row r="6" spans="1:16" s="5" customFormat="1" x14ac:dyDescent="0.25">
      <c r="A6" s="5" t="s">
        <v>11</v>
      </c>
      <c r="B6" s="10">
        <v>80</v>
      </c>
      <c r="C6" s="10">
        <v>78.209999999999994</v>
      </c>
      <c r="D6" s="9">
        <f t="shared" si="0"/>
        <v>1.3014959723820487</v>
      </c>
      <c r="E6" s="7">
        <v>42614</v>
      </c>
      <c r="F6" s="7">
        <v>43678</v>
      </c>
      <c r="G6" s="5">
        <v>34</v>
      </c>
      <c r="H6" s="10">
        <v>180</v>
      </c>
      <c r="I6" s="8">
        <f t="shared" si="3"/>
        <v>2.9411764705882355</v>
      </c>
      <c r="J6" s="30">
        <f t="shared" ref="J6:J12" si="6">I6/B6</f>
        <v>3.6764705882352942E-2</v>
      </c>
      <c r="K6" s="9">
        <f t="shared" si="4"/>
        <v>0.44117647058823528</v>
      </c>
      <c r="L6" s="9">
        <f t="shared" si="5"/>
        <v>1.25</v>
      </c>
      <c r="M6" s="10">
        <v>12.8</v>
      </c>
      <c r="N6" s="10">
        <f t="shared" ref="N6:N9" si="7">H6*0.129</f>
        <v>23.22</v>
      </c>
      <c r="O6" s="8">
        <f t="shared" si="1"/>
        <v>63.97999999999999</v>
      </c>
      <c r="P6" s="9">
        <f t="shared" si="2"/>
        <v>0.79974999999999985</v>
      </c>
    </row>
    <row r="7" spans="1:16" s="5" customFormat="1" x14ac:dyDescent="0.25">
      <c r="A7" s="5" t="s">
        <v>12</v>
      </c>
      <c r="B7" s="10">
        <v>80</v>
      </c>
      <c r="C7" s="10">
        <v>89.11</v>
      </c>
      <c r="D7" s="9">
        <f t="shared" si="0"/>
        <v>0.57109190887666927</v>
      </c>
      <c r="E7" s="7">
        <v>42736</v>
      </c>
      <c r="F7" s="7">
        <v>43678</v>
      </c>
      <c r="G7" s="5">
        <v>30</v>
      </c>
      <c r="H7" s="10">
        <v>140</v>
      </c>
      <c r="I7" s="8">
        <f t="shared" si="3"/>
        <v>2</v>
      </c>
      <c r="J7" s="30">
        <f t="shared" si="6"/>
        <v>2.5000000000000001E-2</v>
      </c>
      <c r="K7" s="9">
        <f t="shared" si="4"/>
        <v>0.30000000000000004</v>
      </c>
      <c r="L7" s="9">
        <f t="shared" si="5"/>
        <v>0.75</v>
      </c>
      <c r="M7" s="10">
        <v>12.8</v>
      </c>
      <c r="N7" s="10">
        <f t="shared" si="7"/>
        <v>18.060000000000002</v>
      </c>
      <c r="O7" s="8">
        <f t="shared" si="1"/>
        <v>29.14</v>
      </c>
      <c r="P7" s="9">
        <f t="shared" si="2"/>
        <v>0.36425000000000002</v>
      </c>
    </row>
    <row r="8" spans="1:16" s="5" customFormat="1" x14ac:dyDescent="0.25">
      <c r="A8" s="5" t="s">
        <v>13</v>
      </c>
      <c r="B8" s="10">
        <v>80</v>
      </c>
      <c r="C8" s="10">
        <v>57</v>
      </c>
      <c r="D8" s="9">
        <f t="shared" si="0"/>
        <v>0.66666666666666674</v>
      </c>
      <c r="E8" s="7">
        <v>42826</v>
      </c>
      <c r="F8" s="7">
        <v>43678</v>
      </c>
      <c r="G8" s="5">
        <v>27</v>
      </c>
      <c r="H8" s="10">
        <v>95</v>
      </c>
      <c r="I8" s="8">
        <f t="shared" si="3"/>
        <v>0.55555555555555558</v>
      </c>
      <c r="J8" s="30">
        <f t="shared" si="6"/>
        <v>6.9444444444444449E-3</v>
      </c>
      <c r="K8" s="9">
        <f t="shared" si="4"/>
        <v>8.3333333333333343E-2</v>
      </c>
      <c r="L8" s="9">
        <f t="shared" si="5"/>
        <v>0.1875</v>
      </c>
      <c r="M8" s="10">
        <v>12.8</v>
      </c>
      <c r="N8" s="10">
        <f t="shared" si="7"/>
        <v>12.255000000000001</v>
      </c>
      <c r="O8" s="8">
        <f t="shared" si="1"/>
        <v>-10.054999999999993</v>
      </c>
      <c r="P8" s="9">
        <f t="shared" si="2"/>
        <v>-0.1256874999999999</v>
      </c>
    </row>
    <row r="9" spans="1:16" s="5" customFormat="1" x14ac:dyDescent="0.25">
      <c r="A9" s="12" t="s">
        <v>23</v>
      </c>
      <c r="B9" s="16">
        <v>80</v>
      </c>
      <c r="C9" s="16">
        <v>62.01</v>
      </c>
      <c r="D9" s="15">
        <f t="shared" si="0"/>
        <v>0.45137880986937606</v>
      </c>
      <c r="E9" s="13">
        <v>42917</v>
      </c>
      <c r="F9" s="13">
        <v>43678</v>
      </c>
      <c r="G9" s="12">
        <v>24</v>
      </c>
      <c r="H9" s="16">
        <v>90</v>
      </c>
      <c r="I9" s="14">
        <f t="shared" si="3"/>
        <v>0.41666666666666669</v>
      </c>
      <c r="J9" s="34">
        <f t="shared" si="6"/>
        <v>5.2083333333333339E-3</v>
      </c>
      <c r="K9" s="15">
        <f t="shared" si="4"/>
        <v>6.25E-2</v>
      </c>
      <c r="L9" s="15">
        <f t="shared" si="5"/>
        <v>0.125</v>
      </c>
      <c r="M9" s="16">
        <v>12.8</v>
      </c>
      <c r="N9" s="16">
        <f t="shared" si="7"/>
        <v>11.61</v>
      </c>
      <c r="O9" s="14">
        <f t="shared" si="1"/>
        <v>-14.409999999999997</v>
      </c>
      <c r="P9" s="15">
        <f t="shared" si="2"/>
        <v>-0.18012499999999995</v>
      </c>
    </row>
    <row r="10" spans="1:16" x14ac:dyDescent="0.25">
      <c r="A10" s="17" t="s">
        <v>21</v>
      </c>
      <c r="B10" s="10">
        <f>SUM(B4:B9)</f>
        <v>480</v>
      </c>
      <c r="C10" s="10">
        <f>SUM(C4:C9)</f>
        <v>419.56</v>
      </c>
      <c r="D10" s="9">
        <f>(H10/C10)-1</f>
        <v>0.81142148917914003</v>
      </c>
      <c r="G10" s="5">
        <f>SUM(G4:G9)</f>
        <v>190</v>
      </c>
      <c r="H10" s="10">
        <f>SUM(H4:H9)</f>
        <v>760</v>
      </c>
      <c r="I10" s="8">
        <f>SUM(I4:I9)</f>
        <v>8.5309200603318249</v>
      </c>
      <c r="J10" s="31">
        <f t="shared" si="6"/>
        <v>1.7772750125691301E-2</v>
      </c>
      <c r="K10" s="9">
        <f t="shared" si="4"/>
        <v>0.21327300150829562</v>
      </c>
      <c r="L10" s="9">
        <f>(H10-B10)/B10</f>
        <v>0.58333333333333337</v>
      </c>
      <c r="M10" s="10">
        <f>SUM(M4:M9)</f>
        <v>76.8</v>
      </c>
      <c r="N10" s="10">
        <f>SUM(N4:N9)</f>
        <v>98.039999999999992</v>
      </c>
      <c r="O10" s="8">
        <f>SUM(O4:O9)</f>
        <v>105.16000000000001</v>
      </c>
      <c r="P10" s="9">
        <f t="shared" si="2"/>
        <v>0.21908333333333335</v>
      </c>
    </row>
    <row r="11" spans="1:16" x14ac:dyDescent="0.25">
      <c r="C11" s="10"/>
      <c r="H11" s="10"/>
      <c r="J11" s="35"/>
      <c r="K11" s="9"/>
      <c r="L11" s="5"/>
    </row>
    <row r="12" spans="1:16" x14ac:dyDescent="0.25">
      <c r="A12" s="17" t="s">
        <v>22</v>
      </c>
      <c r="B12" s="10">
        <f>SUM(B4:B9)/6</f>
        <v>80</v>
      </c>
      <c r="C12" s="10">
        <f>SUM(C4:C9)/6</f>
        <v>69.926666666666662</v>
      </c>
      <c r="D12" s="9">
        <f>SUM(D4:D9)/6</f>
        <v>0.78900888749255615</v>
      </c>
      <c r="E12" s="7">
        <f t="shared" ref="E12:I12" si="8">AVERAGE(E4:E9)</f>
        <v>42684.333333333336</v>
      </c>
      <c r="F12" s="7">
        <f t="shared" si="8"/>
        <v>43678</v>
      </c>
      <c r="G12" s="18">
        <f t="shared" si="8"/>
        <v>31.666666666666668</v>
      </c>
      <c r="H12" s="10">
        <f t="shared" si="8"/>
        <v>126.66666666666667</v>
      </c>
      <c r="I12" s="19">
        <f t="shared" si="8"/>
        <v>1.4218200100553042</v>
      </c>
      <c r="J12" s="31">
        <f t="shared" si="6"/>
        <v>1.7772750125691301E-2</v>
      </c>
      <c r="K12" s="9">
        <f>J12*12</f>
        <v>0.21327300150829562</v>
      </c>
      <c r="L12" s="20">
        <f>J12*G12</f>
        <v>0.56280375398022453</v>
      </c>
      <c r="M12" s="10">
        <f>AVERAGE(M4:M9)</f>
        <v>12.799999999999999</v>
      </c>
      <c r="N12" s="10">
        <f>AVERAGE(N4:N9)</f>
        <v>16.34</v>
      </c>
      <c r="O12" s="19">
        <f>AVERAGE(O4:O9)</f>
        <v>17.526666666666667</v>
      </c>
      <c r="P12" s="20">
        <f>AVERAGE(P4:P9)</f>
        <v>0.2190833333333333</v>
      </c>
    </row>
    <row r="13" spans="1:16" x14ac:dyDescent="0.25">
      <c r="B13" s="10"/>
      <c r="H13" s="10"/>
      <c r="M13" s="10"/>
      <c r="N13" s="10"/>
    </row>
    <row r="14" spans="1:16" x14ac:dyDescent="0.25">
      <c r="A14" s="17" t="s">
        <v>17</v>
      </c>
      <c r="B14" s="10">
        <v>80</v>
      </c>
      <c r="C14" s="3"/>
      <c r="H14" s="10">
        <v>106.54420206659013</v>
      </c>
      <c r="K14" s="9"/>
      <c r="L14" s="9">
        <f>H14/B14-1</f>
        <v>0.33180252583237668</v>
      </c>
      <c r="M14" s="10">
        <v>12.8</v>
      </c>
      <c r="N14" s="10">
        <f>H14*0.129</f>
        <v>13.744202066590127</v>
      </c>
      <c r="O14" s="6">
        <f>H14-M14-N50-N14-B14</f>
        <v>0</v>
      </c>
      <c r="P14" s="9">
        <f>O14/B14</f>
        <v>0</v>
      </c>
    </row>
    <row r="15" spans="1:16" x14ac:dyDescent="0.25">
      <c r="A15" s="17" t="s">
        <v>17</v>
      </c>
      <c r="B15" s="10">
        <v>90</v>
      </c>
      <c r="H15" s="10">
        <v>118.02525832376578</v>
      </c>
      <c r="J15" s="2"/>
      <c r="K15" s="9"/>
      <c r="L15" s="9">
        <f>H15/B15-1</f>
        <v>0.31139175915295314</v>
      </c>
      <c r="M15" s="10">
        <v>12.8</v>
      </c>
      <c r="N15" s="10">
        <f>H15*0.129</f>
        <v>15.225258323765786</v>
      </c>
      <c r="O15" s="8">
        <f>H15-M15-N51-N15-B15</f>
        <v>0</v>
      </c>
      <c r="P15" s="9">
        <f>O15/B15</f>
        <v>0</v>
      </c>
    </row>
    <row r="16" spans="1:16" x14ac:dyDescent="0.25">
      <c r="O16" s="5"/>
      <c r="P16" s="5"/>
    </row>
    <row r="18" spans="6:13" x14ac:dyDescent="0.25">
      <c r="I18" s="3"/>
    </row>
    <row r="19" spans="6:13" x14ac:dyDescent="0.25">
      <c r="F19" s="3"/>
    </row>
    <row r="20" spans="6:13" x14ac:dyDescent="0.25">
      <c r="J20" s="3"/>
    </row>
    <row r="21" spans="6:13" x14ac:dyDescent="0.25">
      <c r="G21" s="3"/>
      <c r="K21" s="4"/>
      <c r="L21" s="4"/>
      <c r="M21" s="3"/>
    </row>
  </sheetData>
  <pageMargins left="0.7" right="0.7" top="0.75" bottom="0.75" header="0.3" footer="0.3"/>
  <ignoredErrors>
    <ignoredError sqref="L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MH Analysis</vt:lpstr>
      <vt:lpstr>MH Data</vt:lpstr>
      <vt:lpstr>October 2019</vt:lpstr>
      <vt:lpstr>Sheet1</vt:lpstr>
      <vt:lpstr>October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2019-07-29T16:32:13Z</dcterms:created>
  <dcterms:modified xsi:type="dcterms:W3CDTF">2019-09-16T17:16:19Z</dcterms:modified>
</cp:coreProperties>
</file>